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sdx" ContentType="application/vnd.ms-visio.drawing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BCX4H\Desktop\"/>
    </mc:Choice>
  </mc:AlternateContent>
  <bookViews>
    <workbookView xWindow="0" yWindow="0" windowWidth="4245" windowHeight="1860" tabRatio="636" activeTab="1"/>
  </bookViews>
  <sheets>
    <sheet name="Revisions" sheetId="6" r:id="rId1"/>
    <sheet name="Parameters" sheetId="1" r:id="rId2"/>
    <sheet name="Losses" sheetId="2" r:id="rId3"/>
    <sheet name="Schematics" sheetId="5" r:id="rId4"/>
    <sheet name="Additional Calculations" sheetId="3" state="hidden" r:id="rId5"/>
  </sheets>
  <definedNames>
    <definedName name="ACRes2">'Additional Calculations'!$B$191</definedName>
    <definedName name="Ae">Parameters!$F$70</definedName>
    <definedName name="alpha">Parameters!$B$75</definedName>
    <definedName name="AtoDFswVoMax">Parameters!$B$65</definedName>
    <definedName name="AtoDFswVoMin">Parameters!$B$66</definedName>
    <definedName name="AtoDTrans">'Additional Calculations'!$B$64</definedName>
    <definedName name="AWGSec">Parameters!$F$86</definedName>
    <definedName name="AWGsigskinVinminVoutmaxIoutMVout">'Additional Calculations'!$B$172</definedName>
    <definedName name="AWGSp">Parameters!$B$83</definedName>
    <definedName name="Bdepth">'Additional Calculations'!$B$162</definedName>
    <definedName name="beta">Parameters!$B$76</definedName>
    <definedName name="BinVoltageVathNoZener">'Additional Calculations'!$B$213</definedName>
    <definedName name="BinVoltageVathZener">'Additional Calculations'!$B$212</definedName>
    <definedName name="BmPkVinminVoutmaxIoutMVout">'Additional Calculations'!$B$152</definedName>
    <definedName name="BobbinArea">'Additional Calculations'!$B$164</definedName>
    <definedName name="BobbinInnerDiameter">Parameters!$F$73</definedName>
    <definedName name="BobbinMTL">'Additional Calculations'!$B$163</definedName>
    <definedName name="BobbinOuterDiameter">Parameters!$F$74</definedName>
    <definedName name="Boot_IQ">Parameters!$B$140</definedName>
    <definedName name="Bootripple">Parameters!$F$141</definedName>
    <definedName name="Bridge_Derating">Parameters!$B$108</definedName>
    <definedName name="Bwindow">Parameters!$F$75</definedName>
    <definedName name="Cap2ChFB">Parameters!$F$160</definedName>
    <definedName name="Cap2RecFB">'Additional Calculations'!$B$248</definedName>
    <definedName name="CbootCh">Parameters!$F$145</definedName>
    <definedName name="CbootRec">'Additional Calculations'!$B$131</definedName>
    <definedName name="CbootRipple">'Additional Calculations'!$B$125</definedName>
    <definedName name="CbootskipVoutminIbootish">'Additional Calculations'!$B$130</definedName>
    <definedName name="CbulkCh">Parameters!$F$99</definedName>
    <definedName name="CbulkRec">'Additional Calculations'!$B$95</definedName>
    <definedName name="CclampCh">Parameters!$B$39</definedName>
    <definedName name="CclampRec">'Additional Calculations'!$B$20</definedName>
    <definedName name="CcoutRecC">'Additional Calculations'!$B$108</definedName>
    <definedName name="CcoutRecE">'Additional Calculations'!$B$107</definedName>
    <definedName name="Cdrv">Parameters!$F$34</definedName>
    <definedName name="CharlieIntegral">'Additional Calculations'!$B$144</definedName>
    <definedName name="CircleInCircle">'Additional Calculations'!$B$182</definedName>
    <definedName name="CompDel">'Additional Calculations'!$B$33</definedName>
    <definedName name="CompNecessaryGain">'Additional Calculations'!$B$241</definedName>
    <definedName name="CompNecessaryPhase">'Additional Calculations'!$B$242</definedName>
    <definedName name="Copto">Parameters!$F$152</definedName>
    <definedName name="CoptoTot">'Additional Calculations'!$B$246</definedName>
    <definedName name="COSSHigh">Parameters!$F$26</definedName>
    <definedName name="COSSHigh10V">Parameters!$F$27</definedName>
    <definedName name="CossHighAVG">'Additional Calculations'!$B$4</definedName>
    <definedName name="COSSLow">Parameters!$B$33</definedName>
    <definedName name="COSSLow10V">Parameters!$B$34</definedName>
    <definedName name="CossLowAVG">'Additional Calculations'!$B$3</definedName>
    <definedName name="COSSSec">Parameters!$F$31</definedName>
    <definedName name="COSSSec10V">Parameters!$F$32</definedName>
    <definedName name="CossSecAVG">'Additional Calculations'!$B$5</definedName>
    <definedName name="CoutCountC">Parameters!$F$119</definedName>
    <definedName name="CoutCountE">Parameters!$F$117</definedName>
    <definedName name="CoutCValue">Parameters!$F$118</definedName>
    <definedName name="CoutEValue">Parameters!$F$116</definedName>
    <definedName name="CrossoverDesired">Parameters!$B$157</definedName>
    <definedName name="CrossoverEstimate1">'Additional Calculations'!$B$256</definedName>
    <definedName name="CrossoverEstimate2">'Additional Calculations'!$B$257</definedName>
    <definedName name="CrossSectionalAreaofWire">'Additional Calculations'!$B$173</definedName>
    <definedName name="CrossSectionalAreaofWireSec">'Additional Calculations'!$B$174</definedName>
    <definedName name="CsecESRTot">'Additional Calculations'!$B$148</definedName>
    <definedName name="CSOption">Parameters!$B$43</definedName>
    <definedName name="CswTotal">'Additional Calculations'!$B$6</definedName>
    <definedName name="CurrentLimit">'Additional Calculations'!$B$153</definedName>
    <definedName name="CvccCDerate">Parameters!$F$123</definedName>
    <definedName name="CvccCh">Parameters!$F$129</definedName>
    <definedName name="CVccCRec">'Additional Calculations'!$B$121</definedName>
    <definedName name="CvccDecouple">Parameters!$F$130</definedName>
    <definedName name="CvccEDerate">Parameters!$F$124</definedName>
    <definedName name="CvccERec">'Additional Calculations'!$B$122</definedName>
    <definedName name="CvccRec">'Additional Calculations'!$B$120</definedName>
    <definedName name="CXFMR">Parameters!$F$35</definedName>
    <definedName name="CZeroCh">Parameters!$F$159</definedName>
    <definedName name="CZeroRecommend">'Additional Calculations'!$B$247</definedName>
    <definedName name="Dbootleak">Parameters!$B$143</definedName>
    <definedName name="DC_Gain">'Additional Calculations'!$B$237</definedName>
    <definedName name="DclampcapRec">'Additional Calculations'!$B$19</definedName>
    <definedName name="Dcore">Parameters!$F$76</definedName>
    <definedName name="DepthCore">'Additional Calculations'!$B$161</definedName>
    <definedName name="DepthNumber12">'Additional Calculations'!$B$199</definedName>
    <definedName name="dIACFVinminVoutmaxItranACF">'Additional Calculations'!$B$81</definedName>
    <definedName name="dIACFVinminVoutminItranACF">'Additional Calculations'!$B$82</definedName>
    <definedName name="DiameterAWG">'Additional Calculations'!$B$183</definedName>
    <definedName name="DiameterAWGSec">'Additional Calculations'!$B$184</definedName>
    <definedName name="DissFact">Parameters!$F$101</definedName>
    <definedName name="DtoATrans">Parameters!$B$53</definedName>
    <definedName name="DutyACFVinminVoutmaxIoutVoutMax">'Additional Calculations'!$B$23</definedName>
    <definedName name="DutyACFVinminVoutmaxItranACF">'Additional Calculations'!$B$71</definedName>
    <definedName name="DutyACFVinminVoutminIoutMax">'Additional Calculations'!$B$15</definedName>
    <definedName name="DutyACFVinminVoutminItranACF">'Additional Calculations'!$B$72</definedName>
    <definedName name="DutyMax">Parameters!$F$11</definedName>
    <definedName name="DutyMaxVinmin">'Additional Calculations'!$B$2</definedName>
    <definedName name="Eff4W">Parameters!$B$13</definedName>
    <definedName name="EffFL">Parameters!$B$12</definedName>
    <definedName name="ESRBulkCalc">'Additional Calculations'!$B$96</definedName>
    <definedName name="ESRBulkCh">Parameters!$F$103</definedName>
    <definedName name="ESROutC1x">Parameters!$B$116</definedName>
    <definedName name="ESROutE1x">Parameters!$B$115</definedName>
    <definedName name="ESRRec">'Additional Calculations'!$B$105</definedName>
    <definedName name="FactorforSquareWaves">'Additional Calculations'!$B$158</definedName>
    <definedName name="FBGain">'Additional Calculations'!$B$41</definedName>
    <definedName name="FHSAVG">'Additional Calculations'!$B$113</definedName>
    <definedName name="FinalPhase">'Additional Calculations'!$B$258</definedName>
    <definedName name="FinMax">Parameters!$F$14</definedName>
    <definedName name="FinMin">Parameters!$B$14</definedName>
    <definedName name="FinNom">Parameters!$B$15</definedName>
    <definedName name="FLSAVG">'Additional Calculations'!$B$112</definedName>
    <definedName name="FminACF">Parameters!$F$10</definedName>
    <definedName name="FneededVoutminIbootish">'Additional Calculations'!$B$128</definedName>
    <definedName name="FoptoCutoff">Parameters!$F$151</definedName>
    <definedName name="Fpole">'Additional Calculations'!$B$243</definedName>
    <definedName name="FswACFMax">'Additional Calculations'!$B$38</definedName>
    <definedName name="FswACFMinChRt">Parameters!$F$22</definedName>
    <definedName name="FswACFVinminVoutmaxItranACF">'Additional Calculations'!$B$77</definedName>
    <definedName name="FswACFVinminVoutminItranACF">'Additional Calculations'!$B$78</definedName>
    <definedName name="FswDCMMax">'Additional Calculations'!$B$37</definedName>
    <definedName name="FSWMin">'Additional Calculations'!$B$106</definedName>
    <definedName name="FswNolimACFVinminVoutmaxItranACF">'Additional Calculations'!$B$75</definedName>
    <definedName name="FswNolimACFVinminVoutminItranACF">'Additional Calculations'!$B$76</definedName>
    <definedName name="FswVinminVoutmaxIoutMVout">'Additional Calculations'!$B$27</definedName>
    <definedName name="FswVinminVoutminIoutMax">'Additional Calculations'!$B$17</definedName>
    <definedName name="Fuse_Resistance">Parameters!$B$97</definedName>
    <definedName name="FwaveVinminVoutmaxIoutMVout">'Additional Calculations'!$B$159</definedName>
    <definedName name="Fzero">'Additional Calculations'!$B$244</definedName>
    <definedName name="gapcalc">'Additional Calculations'!$B$156</definedName>
    <definedName name="HV_Diode_Derate">Parameters!$B$135</definedName>
    <definedName name="HVRes1">Parameters!$F$133</definedName>
    <definedName name="HVRes2">Parameters!$F$134</definedName>
    <definedName name="HVResSum">'Additional Calculations'!$B$227</definedName>
    <definedName name="IATH">'Additional Calculations'!$B$39</definedName>
    <definedName name="Ibias431">Parameters!$B$153</definedName>
    <definedName name="Ibootish">'Additional Calculations'!$B$127</definedName>
    <definedName name="IBridgeRate">Parameters!$F$110</definedName>
    <definedName name="ICC1568P">'Additional Calculations'!$B$116</definedName>
    <definedName name="ICCQGTot">'Additional Calculations'!$B$114</definedName>
    <definedName name="IcircVoutmaxIoutVoutMax">'Additional Calculations'!$B$22</definedName>
    <definedName name="IcircVoutmaxItranACF">'Additional Calculations'!$B$70</definedName>
    <definedName name="IcircVoutminIoutMax">'Additional Calculations'!$B$13</definedName>
    <definedName name="IcircVoutminItranACF">'Additional Calculations'!$B$67</definedName>
    <definedName name="IdPeak">'Additional Calculations'!$B$223</definedName>
    <definedName name="IDriver">Parameters!$B$122</definedName>
    <definedName name="IdrvExt">'Additional Calculations'!$B$115</definedName>
    <definedName name="IDTH">'Additional Calculations'!$B$63</definedName>
    <definedName name="Ifuse">'Additional Calculations'!$B$92</definedName>
    <definedName name="Igss">Parameters!$B$142</definedName>
    <definedName name="IinAVGMax">'Additional Calculations'!$B$221</definedName>
    <definedName name="IinDCMax">'Additional Calculations'!$B$91</definedName>
    <definedName name="IinPeakMax">'Additional Calculations'!$B$220</definedName>
    <definedName name="IinRMSMax">'Additional Calculations'!$B$219</definedName>
    <definedName name="ILSSWRMSVinminVoutmaxIoutVoutMax">'Additional Calculations'!$B$94</definedName>
    <definedName name="ImaxACFVinminVoutmaxIoutMVout">'Additional Calculations'!$B$151</definedName>
    <definedName name="ImaxACFVinminVoutmaxItranACF">'Additional Calculations'!$B$85</definedName>
    <definedName name="ImaxACFVinminVoutminItranACF">'Additional Calculations'!$B$86</definedName>
    <definedName name="ImidACFVinminVoutmaxItranACF">'Additional Calculations'!$B$83</definedName>
    <definedName name="ImidACFVinminVoutminItranACF">'Additional Calculations'!$B$84</definedName>
    <definedName name="ImpedCOUTMAXVinmaxVoutminIoutMax">'Additional Calculations'!$B$104</definedName>
    <definedName name="InegVinminVoutmax">'Additional Calculations'!$B$26</definedName>
    <definedName name="InegVinminVoutmin">'Additional Calculations'!$B$7</definedName>
    <definedName name="InsulationSpace">'Additional Calculations'!$B$181</definedName>
    <definedName name="IntegralISEC">'Additional Calculations'!$B$145</definedName>
    <definedName name="IntegralISWRMS">'Additional Calculations'!$B$138</definedName>
    <definedName name="IoutMax">Parameters!$F$8</definedName>
    <definedName name="IoutVoutMax">Parameters!$F$9</definedName>
    <definedName name="IpkACFVinminVoutmaxIoutVoutMax">'Additional Calculations'!$B$93</definedName>
    <definedName name="IPKDCMVinminVoutmaxItran">'Additional Calculations'!$B$44</definedName>
    <definedName name="IPKDCMVinminVoutminItran">'Additional Calculations'!$B$45</definedName>
    <definedName name="IpkFrz">'Additional Calculations'!$B$98</definedName>
    <definedName name="IpkMarVinmaxVoutminIoutMax">'Additional Calculations'!$B$103</definedName>
    <definedName name="ISECRMS">'Additional Calculations'!$B$146</definedName>
    <definedName name="Isoftstart">'Additional Calculations'!$B$117</definedName>
    <definedName name="Isolation">'Additional Calculations'!$B$197</definedName>
    <definedName name="ISW2RMS">'Additional Calculations'!$B$139</definedName>
    <definedName name="ItransPriRMSVinminVoutmaxIoutMVout">'Additional Calculations'!$B$195</definedName>
    <definedName name="IVCCAdditional">Parameters!$F$122</definedName>
    <definedName name="Ke">Parameters!$B$71</definedName>
    <definedName name="Kf">'Additional Calculations'!$B$218</definedName>
    <definedName name="Kfb">Parameters!$B$150</definedName>
    <definedName name="KH">Parameters!$B$70</definedName>
    <definedName name="Kk">Parameters!$B$74</definedName>
    <definedName name="Layers2">'Additional Calculations'!$B$190</definedName>
    <definedName name="Lc">Parameters!$F$71</definedName>
    <definedName name="Lch">Parameters!$F$19</definedName>
    <definedName name="Lleak">Parameters!$F$20</definedName>
    <definedName name="MuO">'Additional Calculations'!$B$155</definedName>
    <definedName name="MuR">Parameters!$B$73</definedName>
    <definedName name="MuRC">'Additional Calculations'!$B$216</definedName>
    <definedName name="Naux1">Parameters!$B$60</definedName>
    <definedName name="NauxHigh">'Additional Calculations'!$B$169</definedName>
    <definedName name="Nauxsec">'Additional Calculations'!$B$40</definedName>
    <definedName name="NauxTakeover">'Additional Calculations'!$B$168</definedName>
    <definedName name="NauxTot">'Additional Calculations'!$B$167</definedName>
    <definedName name="NBridge">Parameters!$B$106</definedName>
    <definedName name="Nch">Parameters!$F$18</definedName>
    <definedName name="NCT">Parameters!$B$48</definedName>
    <definedName name="nLinVoutmaxIoutVoutMax">'Additional Calculations'!$B$25</definedName>
    <definedName name="nLinVoutmaxITranACF">'Additional Calculations'!$B$68</definedName>
    <definedName name="nLinVoutminIoutMax">'Additional Calculations'!$B$11</definedName>
    <definedName name="nLinVoutminITranACF">'Additional Calculations'!$B$65</definedName>
    <definedName name="NpriLayers">Parameters!$B$86</definedName>
    <definedName name="NpriLitz">Parameters!$B$84</definedName>
    <definedName name="NpTurns">Parameters!$B$56</definedName>
    <definedName name="Nsec">Parameters!$B$58</definedName>
    <definedName name="NSecLayers">Parameters!$B$87</definedName>
    <definedName name="Number123">'Additional Calculations'!$B$186</definedName>
    <definedName name="OppCVinmax">'Additional Calculations'!$B$36</definedName>
    <definedName name="OppCVinmin">'Additional Calculations'!$B$35</definedName>
    <definedName name="OppCVVinmax">'Additional Calculations'!$B$36</definedName>
    <definedName name="OPPExtVinminVoutmax">'Additional Calculations'!$B$47</definedName>
    <definedName name="OPPExtVinminVoutmin">'Additional Calculations'!$B$48</definedName>
    <definedName name="OptoCTR">Parameters!$F$150</definedName>
    <definedName name="palocation">Parameters!$F$84</definedName>
    <definedName name="palocationsec">'Additional Calculations'!$B$198</definedName>
    <definedName name="para12">'Additional Calculations'!$B$201</definedName>
    <definedName name="Para2">'Additional Calculations'!$B$188</definedName>
    <definedName name="PauxWind">'Additional Calculations'!$B$208</definedName>
    <definedName name="Pbridge">'Additional Calculations'!$B$225</definedName>
    <definedName name="Pbulk">'Additional Calculations'!$B$211</definedName>
    <definedName name="PCapsOut">'Additional Calculations'!$B$149</definedName>
    <definedName name="PcircVoutmaxIoutVoutMax">'Additional Calculations'!$B$21</definedName>
    <definedName name="PcircVoutmaxItranACF">'Additional Calculations'!$B$69</definedName>
    <definedName name="PcircVoutminIoutMax">'Additional Calculations'!$B$12</definedName>
    <definedName name="PcircVoutminItranACF">'Additional Calculations'!$B$66</definedName>
    <definedName name="Pclamp">Parameters!$B$103</definedName>
    <definedName name="PClampCap">'Additional Calculations'!$B$142</definedName>
    <definedName name="pcop">'Additional Calculations'!$B$215</definedName>
    <definedName name="PcoreSQ22">'Additional Calculations'!$B$160</definedName>
    <definedName name="PCST">'Additional Calculations'!$B$143</definedName>
    <definedName name="PcvML29D">'Additional Calculations'!$B$157</definedName>
    <definedName name="Permitted_Total_Loss">Losses!$B$2</definedName>
    <definedName name="Pfuse">'Additional Calculations'!$B$210</definedName>
    <definedName name="PHSConduction">'Additional Calculations'!$B$140</definedName>
    <definedName name="PLSConduction">'Additional Calculations'!$B$133</definedName>
    <definedName name="Pmargin">Parameters!$B$44</definedName>
    <definedName name="PNoLoadBoot">'Additional Calculations'!$B$126</definedName>
    <definedName name="Pout">Parameters!$B$9</definedName>
    <definedName name="PowerFactor">Parameters!$F$15</definedName>
    <definedName name="PPSSInt">Parameters!$F$90</definedName>
    <definedName name="PriAuxLength">'Additional Calculations'!$B$170</definedName>
    <definedName name="PriLength">'Additional Calculations'!$B$165</definedName>
    <definedName name="PriNumWireCh">Parameters!$B$85</definedName>
    <definedName name="PriWindFitAWG">'Additional Calculations'!$B$177</definedName>
    <definedName name="PRSACF">'Additional Calculations'!$B$141</definedName>
    <definedName name="PRsWorst">'Additional Calculations'!$B$30</definedName>
    <definedName name="PSecCond">'Additional Calculations'!$B$147</definedName>
    <definedName name="PSInt">Parameters!$B$88</definedName>
    <definedName name="PtransDCAC">'Additional Calculations'!$B$196</definedName>
    <definedName name="PtransSec">'Additional Calculations'!$B$205</definedName>
    <definedName name="PtransTot">'Additional Calculations'!$B$209</definedName>
    <definedName name="PXFMRCond">'Additional Calculations'!$B$214</definedName>
    <definedName name="QGHS">Parameters!$B$126</definedName>
    <definedName name="QGLS">Parameters!$B$125</definedName>
    <definedName name="Qgtot">Parameters!$F$140</definedName>
    <definedName name="Qlevelshift">Parameters!$B$144</definedName>
    <definedName name="QtotBootCap">'Additional Calculations'!$B$123</definedName>
    <definedName name="RATHVinminVoutmax">'Additional Calculations'!$B$55</definedName>
    <definedName name="RATHVinminVoutmin">'Additional Calculations'!$B$56</definedName>
    <definedName name="RBCh">Parameters!$F$49</definedName>
    <definedName name="Rburden">'Additional Calculations'!$B$31</definedName>
    <definedName name="RburdenSuggest">'Additional Calculations'!$B$32</definedName>
    <definedName name="RClampESR">Parameters!$B$40</definedName>
    <definedName name="RclampPri">Parameters!$B$102</definedName>
    <definedName name="RCST">Parameters!$B$49</definedName>
    <definedName name="RDSOnHS">Parameters!$F$25</definedName>
    <definedName name="RDSOnLS">Parameters!$B$32</definedName>
    <definedName name="RDSOnSec">Parameters!$F$30</definedName>
    <definedName name="RDTH1Ch">Parameters!$F$65</definedName>
    <definedName name="RDTH1Rec">'Additional Calculations'!$B$89</definedName>
    <definedName name="RDTH2Ch">Parameters!$F$67</definedName>
    <definedName name="RDTH2Rec">'Additional Calculations'!$B$90</definedName>
    <definedName name="RegDrop">Parameters!$F$82</definedName>
    <definedName name="RiseMax">'Additional Calculations'!$B$14</definedName>
    <definedName name="RiseTimeVinminVoutmaxIoutVoutMax">'Additional Calculations'!$B$24</definedName>
    <definedName name="RisetimeVinminVoutmaxItranACF">'Additional Calculations'!$B$73</definedName>
    <definedName name="RiseTimeVinminVoutminIoutMax">'Additional Calculations'!$B$16</definedName>
    <definedName name="RisetimeVinminVoutminItranACF">'Additional Calculations'!$B$74</definedName>
    <definedName name="RLEDCh">Parameters!$F$161</definedName>
    <definedName name="RLEDRec">'Additional Calculations'!$B$249</definedName>
    <definedName name="RlineandVoOPP">'Additional Calculations'!$B$46</definedName>
    <definedName name="RMSTot">'Additional Calculations'!$B$224</definedName>
    <definedName name="RNoZ1Ch">Parameters!$F$61</definedName>
    <definedName name="RNoZ1Rec">'Additional Calculations'!$B$62</definedName>
    <definedName name="RNoZ2Ch">Parameters!$F$59</definedName>
    <definedName name="RNoZ2Rec">'Additional Calculations'!$B$61</definedName>
    <definedName name="RoppCh">Parameters!$F$46</definedName>
    <definedName name="RoppRec">'Additional Calculations'!$B$34</definedName>
    <definedName name="RperD1">'Additional Calculations'!$B$185</definedName>
    <definedName name="Rpulldown_Primary">Parameters!$F$158</definedName>
    <definedName name="Rpullup_Primary">Parameters!$F$157</definedName>
    <definedName name="RresetCh">Parameters!$F$50</definedName>
    <definedName name="RSCh">Parameters!$B$46</definedName>
    <definedName name="RSRec">'Additional Calculations'!$B$29</definedName>
    <definedName name="RtCh">Parameters!$F$21</definedName>
    <definedName name="RthJCBridge">Parameters!$B$109</definedName>
    <definedName name="Rtot2">'Additional Calculations'!$B$193</definedName>
    <definedName name="Rtot3">'Additional Calculations'!$B$194</definedName>
    <definedName name="RtotPA1">'Additional Calculations'!$B$207</definedName>
    <definedName name="RtotS122">'Additional Calculations'!$B$204</definedName>
    <definedName name="RtRec">'Additional Calculations'!$B$8</definedName>
    <definedName name="RtRecPostCalc">'Additional Calculations'!$B$18</definedName>
    <definedName name="RZ1Ch">Parameters!$F$57</definedName>
    <definedName name="RZ1DTH">Parameters!$F$57</definedName>
    <definedName name="RZ1Rec">'Additional Calculations'!$B$60</definedName>
    <definedName name="RZ2Ch">Parameters!$F$55</definedName>
    <definedName name="RZ2Rec">'Additional Calculations'!$B$59</definedName>
    <definedName name="salocation">Parameters!$F$85</definedName>
    <definedName name="SecLength">'Additional Calculations'!$B$166</definedName>
    <definedName name="SecNumWireCh">Parameters!$F$88</definedName>
    <definedName name="SecWindFitAWG">'Additional Calculations'!$B$178</definedName>
    <definedName name="SkinDepthVinminVoutmaxIoutMVout">'Additional Calculations'!$B$171</definedName>
    <definedName name="SkiptimeVoutminIbootish">'Additional Calculations'!$B$129</definedName>
    <definedName name="SpikePri">Parameters!$B$30</definedName>
    <definedName name="SpikeSec">Parameters!$F$29</definedName>
    <definedName name="Surge_Voltage">Parameters!#REF!</definedName>
    <definedName name="SwDerate">Parameters!$B$29</definedName>
    <definedName name="TACFVinminVoutmaxItranACF">'Additional Calculations'!$B$79</definedName>
    <definedName name="TACFVinminVoutminItranACF">'Additional Calculations'!$B$80</definedName>
    <definedName name="talocation">Parameters!$B$90</definedName>
    <definedName name="Tape">Parameters!$F$89</definedName>
    <definedName name="Tbridge">'Additional Calculations'!$B$226</definedName>
    <definedName name="Tconduct">'Additional Calculations'!$B$222</definedName>
    <definedName name="TDCM">'Additional Calculations'!$B$111</definedName>
    <definedName name="TevalVinminVoutmaxIoutMVout">'Additional Calculations'!$B$137</definedName>
    <definedName name="ToffDCMVinmaxVoutminIoutmax">'Additional Calculations'!$B$101</definedName>
    <definedName name="TonACFVinminVoutmaxIoutMVout">'Additional Calculations'!$B$150</definedName>
    <definedName name="TonDCMVinmaxVoutminIoutmax">'Additional Calculations'!$B$100</definedName>
    <definedName name="TonDCMVinminVoutmaxItran">'Additional Calculations'!$B$42</definedName>
    <definedName name="TonDCMVinminVoutminItran">'Additional Calculations'!$B$43</definedName>
    <definedName name="totalnumber12">'Additional Calculations'!$B$200</definedName>
    <definedName name="TotalNumberofWiresAWG">'Additional Calculations'!$B$187</definedName>
    <definedName name="TotAlocation">'Additional Calculations'!$B$217</definedName>
    <definedName name="Tsoftstart">Parameters!$B$123</definedName>
    <definedName name="TswDCMMax">'Additional Calculations'!$B$102</definedName>
    <definedName name="TurnsperLayer1">'Additional Calculations'!$B$202</definedName>
    <definedName name="TurnsperLayer2">'Additional Calculations'!$B$189</definedName>
    <definedName name="Tzvs">Parameters!$F$12</definedName>
    <definedName name="VbiasVCC">Parameters!$B$129</definedName>
    <definedName name="Vbootoff">Parameters!$B$141</definedName>
    <definedName name="VBridgeRate">Parameters!$F$109</definedName>
    <definedName name="VCC">Parameters!$B$139</definedName>
    <definedName name="Vccoff">'Additional Calculations'!$B$119</definedName>
    <definedName name="Vccon">'Additional Calculations'!$B$118</definedName>
    <definedName name="VcompRoppVinminVoutmax">'Additional Calculations'!$B$51</definedName>
    <definedName name="VcompRoppVinminVoutmin">'Additional Calculations'!$B$52</definedName>
    <definedName name="VcrIni">'Additional Calculations'!$B$135</definedName>
    <definedName name="VCvcc">Parameters!$B$128</definedName>
    <definedName name="VdivHigh">Parameters!$B$156</definedName>
    <definedName name="VdivLow">Parameters!$F$156</definedName>
    <definedName name="Vdrv">Parameters!$F$139</definedName>
    <definedName name="Ve">Parameters!$F$72</definedName>
    <definedName name="VFBACFVinminVoutmaxItranACF">'Additional Calculations'!$B$87</definedName>
    <definedName name="VFBACFVinminVoutminItranACF">'Additional Calculations'!$B$88</definedName>
    <definedName name="VfBridge">Parameters!$B$107</definedName>
    <definedName name="VFBVinminVoutmaxItran">'Additional Calculations'!$B$53</definedName>
    <definedName name="VFBVinminVoutminItran">'Additional Calculations'!$B$54</definedName>
    <definedName name="Vforward">Parameters!$F$13</definedName>
    <definedName name="VHVDiode">Parameters!#REF!</definedName>
    <definedName name="VinMax">'Additional Calculations'!$F$4</definedName>
    <definedName name="VinMaxAC">Parameters!$B$8</definedName>
    <definedName name="VinMin">'Additional Calculations'!$F$2</definedName>
    <definedName name="VinMinAC">Parameters!$B$6</definedName>
    <definedName name="VinNom">'Additional Calculations'!$F$3</definedName>
    <definedName name="VinNomAC">Parameters!$B$7</definedName>
    <definedName name="VinRip">Parameters!$F$95</definedName>
    <definedName name="VLimVinminVoutmaxIoutMVout">'Additional Calculations'!$B$28</definedName>
    <definedName name="Vmargin">Parameters!$F$83</definedName>
    <definedName name="VoutMax">Parameters!$F$7</definedName>
    <definedName name="VoutmaxTol">'Additional Calculations'!$B$10</definedName>
    <definedName name="VoutMin">Parameters!$F$6</definedName>
    <definedName name="VoutminTol">'Additional Calculations'!$B$9</definedName>
    <definedName name="VoutRip">Parameters!$B$11</definedName>
    <definedName name="VoutTol">Parameters!$B$10</definedName>
    <definedName name="VoutTrad">Parameters!$F$81</definedName>
    <definedName name="VpkFrz">'Additional Calculations'!$B$99</definedName>
    <definedName name="VrateCboot">Parameters!$F$143</definedName>
    <definedName name="VrateCbulk">'Additional Calculations'!$B$97</definedName>
    <definedName name="VRateHV">Parameters!$F$135</definedName>
    <definedName name="VratePri">Parameters!$B$26</definedName>
    <definedName name="VrateSec">Parameters!$B$28</definedName>
    <definedName name="Vref431">Parameters!$B$152</definedName>
    <definedName name="VREFRangeVoutmax">'Additional Calculations'!$B$57</definedName>
    <definedName name="VREFRangeVoutmin">'Additional Calculations'!$B$58</definedName>
    <definedName name="VRoppEXTVinminVoutmax">'Additional Calculations'!$B$49</definedName>
    <definedName name="VRoppEXTVinminVoutmin">'Additional Calculations'!$B$50</definedName>
    <definedName name="Vz">Parameters!$F$53</definedName>
    <definedName name="Wclamp">'Additional Calculations'!$B$134</definedName>
    <definedName name="wireR12">'Additional Calculations'!$B$203</definedName>
    <definedName name="wireR123">'Additional Calculations'!$B$206</definedName>
    <definedName name="wireR2">'Additional Calculations'!$B$192</definedName>
    <definedName name="xx">Parameters!$B$72</definedName>
    <definedName name="Zclamp">'Additional Calculations'!$B$136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3" l="1"/>
  <c r="B60" i="3"/>
  <c r="B61" i="3"/>
  <c r="B89" i="3"/>
  <c r="B7" i="3" l="1"/>
  <c r="B19" i="1" s="1"/>
  <c r="B38" i="1"/>
  <c r="B12" i="5"/>
  <c r="D12" i="5"/>
  <c r="F12" i="5"/>
  <c r="F100" i="1"/>
  <c r="K11" i="5"/>
  <c r="I11" i="5"/>
  <c r="B227" i="3"/>
  <c r="F4" i="3" l="1"/>
  <c r="F135" i="1" s="1"/>
  <c r="F3" i="3"/>
  <c r="F2" i="3"/>
  <c r="B222" i="3" l="1"/>
  <c r="B95" i="3"/>
  <c r="F98" i="1" s="1"/>
  <c r="F107" i="1"/>
  <c r="B97" i="3"/>
  <c r="B91" i="3"/>
  <c r="B219" i="3"/>
  <c r="B246" i="3"/>
  <c r="B155" i="1"/>
  <c r="B223" i="3" l="1"/>
  <c r="B224" i="3" s="1"/>
  <c r="B225" i="3" s="1"/>
  <c r="B226" i="3" s="1"/>
  <c r="F111" i="1" s="1"/>
  <c r="B220" i="3"/>
  <c r="B221" i="3" s="1"/>
  <c r="F108" i="1" s="1"/>
  <c r="F155" i="1"/>
  <c r="B151" i="1"/>
  <c r="F142" i="1"/>
  <c r="B14" i="2" l="1"/>
  <c r="B111" i="1"/>
  <c r="J9" i="5"/>
  <c r="J6" i="5"/>
  <c r="J5" i="5"/>
  <c r="F154" i="1"/>
  <c r="B250" i="3"/>
  <c r="F149" i="1"/>
  <c r="F153" i="1"/>
  <c r="B2" i="3" l="1"/>
  <c r="B5" i="3"/>
  <c r="B4" i="3"/>
  <c r="B3" i="3"/>
  <c r="B184" i="3"/>
  <c r="B175" i="3"/>
  <c r="B176" i="3"/>
  <c r="B174" i="3"/>
  <c r="O136" i="3" l="1"/>
  <c r="O137" i="3"/>
  <c r="O138" i="3"/>
  <c r="O139" i="3"/>
  <c r="O140" i="3"/>
  <c r="O141" i="3"/>
  <c r="O142" i="3"/>
  <c r="O143" i="3"/>
  <c r="O144" i="3"/>
  <c r="O145" i="3"/>
  <c r="O146" i="3"/>
  <c r="O147" i="3"/>
  <c r="O148" i="3"/>
  <c r="O149" i="3"/>
  <c r="O150" i="3"/>
  <c r="O151" i="3"/>
  <c r="O152" i="3"/>
  <c r="O153" i="3"/>
  <c r="O154" i="3"/>
  <c r="O155" i="3"/>
  <c r="O156" i="3"/>
  <c r="O157" i="3"/>
  <c r="O158" i="3"/>
  <c r="O159" i="3"/>
  <c r="O160" i="3"/>
  <c r="O161" i="3"/>
  <c r="O162" i="3"/>
  <c r="O163" i="3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O182" i="3"/>
  <c r="O183" i="3"/>
  <c r="O184" i="3"/>
  <c r="O185" i="3"/>
  <c r="O186" i="3"/>
  <c r="O187" i="3"/>
  <c r="O188" i="3"/>
  <c r="O189" i="3"/>
  <c r="O190" i="3"/>
  <c r="O191" i="3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O210" i="3"/>
  <c r="O211" i="3"/>
  <c r="O212" i="3"/>
  <c r="O213" i="3"/>
  <c r="O214" i="3"/>
  <c r="O215" i="3"/>
  <c r="O216" i="3"/>
  <c r="O217" i="3"/>
  <c r="O218" i="3"/>
  <c r="O219" i="3"/>
  <c r="O220" i="3"/>
  <c r="O221" i="3"/>
  <c r="O222" i="3"/>
  <c r="O223" i="3"/>
  <c r="O224" i="3"/>
  <c r="O225" i="3"/>
  <c r="O226" i="3"/>
  <c r="O227" i="3"/>
  <c r="O228" i="3"/>
  <c r="O229" i="3"/>
  <c r="O230" i="3"/>
  <c r="O231" i="3"/>
  <c r="O232" i="3"/>
  <c r="O233" i="3"/>
  <c r="O234" i="3"/>
  <c r="O235" i="3"/>
  <c r="O135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N36" i="3" l="1"/>
  <c r="N37" i="3"/>
  <c r="N38" i="3"/>
  <c r="AA38" i="3" s="1"/>
  <c r="N39" i="3"/>
  <c r="AA39" i="3" s="1"/>
  <c r="N40" i="3"/>
  <c r="N41" i="3"/>
  <c r="AA41" i="3" s="1"/>
  <c r="N42" i="3"/>
  <c r="AA42" i="3" s="1"/>
  <c r="N43" i="3"/>
  <c r="N44" i="3"/>
  <c r="AA44" i="3" s="1"/>
  <c r="N45" i="3"/>
  <c r="N46" i="3"/>
  <c r="N47" i="3"/>
  <c r="N48" i="3"/>
  <c r="AA48" i="3" s="1"/>
  <c r="N49" i="3"/>
  <c r="AA49" i="3" s="1"/>
  <c r="N50" i="3"/>
  <c r="AA50" i="3" s="1"/>
  <c r="N51" i="3"/>
  <c r="AA51" i="3" s="1"/>
  <c r="N52" i="3"/>
  <c r="AA52" i="3" s="1"/>
  <c r="N53" i="3"/>
  <c r="AA53" i="3" s="1"/>
  <c r="N54" i="3"/>
  <c r="N55" i="3"/>
  <c r="N56" i="3"/>
  <c r="AA56" i="3" s="1"/>
  <c r="N57" i="3"/>
  <c r="AA57" i="3" s="1"/>
  <c r="N58" i="3"/>
  <c r="AA58" i="3" s="1"/>
  <c r="N59" i="3"/>
  <c r="AA59" i="3" s="1"/>
  <c r="N60" i="3"/>
  <c r="AA60" i="3" s="1"/>
  <c r="N61" i="3"/>
  <c r="AA61" i="3" s="1"/>
  <c r="N62" i="3"/>
  <c r="N63" i="3"/>
  <c r="N64" i="3"/>
  <c r="AA64" i="3" s="1"/>
  <c r="N65" i="3"/>
  <c r="AA65" i="3" s="1"/>
  <c r="N66" i="3"/>
  <c r="AA66" i="3" s="1"/>
  <c r="N67" i="3"/>
  <c r="AA67" i="3" s="1"/>
  <c r="N68" i="3"/>
  <c r="N69" i="3"/>
  <c r="AA69" i="3" s="1"/>
  <c r="N70" i="3"/>
  <c r="AA70" i="3" s="1"/>
  <c r="N71" i="3"/>
  <c r="AA71" i="3" s="1"/>
  <c r="N35" i="3"/>
  <c r="AA35" i="3" s="1"/>
  <c r="B173" i="3"/>
  <c r="B164" i="3"/>
  <c r="B178" i="3" s="1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35" i="3"/>
  <c r="F136" i="3"/>
  <c r="F135" i="3"/>
  <c r="W41" i="3" l="1"/>
  <c r="W49" i="3"/>
  <c r="W57" i="3"/>
  <c r="W65" i="3"/>
  <c r="W43" i="3"/>
  <c r="W51" i="3"/>
  <c r="W59" i="3"/>
  <c r="W70" i="3"/>
  <c r="W47" i="3"/>
  <c r="W63" i="3"/>
  <c r="W42" i="3"/>
  <c r="W50" i="3"/>
  <c r="W58" i="3"/>
  <c r="W66" i="3"/>
  <c r="W67" i="3"/>
  <c r="W38" i="3"/>
  <c r="W46" i="3"/>
  <c r="W62" i="3"/>
  <c r="W39" i="3"/>
  <c r="W55" i="3"/>
  <c r="W71" i="3"/>
  <c r="W40" i="3"/>
  <c r="W48" i="3"/>
  <c r="W56" i="3"/>
  <c r="W64" i="3"/>
  <c r="W35" i="3"/>
  <c r="W36" i="3"/>
  <c r="W44" i="3"/>
  <c r="W52" i="3"/>
  <c r="W60" i="3"/>
  <c r="W68" i="3"/>
  <c r="W37" i="3"/>
  <c r="W45" i="3"/>
  <c r="W53" i="3"/>
  <c r="W61" i="3"/>
  <c r="W69" i="3"/>
  <c r="W54" i="3"/>
  <c r="P62" i="3"/>
  <c r="P54" i="3"/>
  <c r="P69" i="3"/>
  <c r="P58" i="3"/>
  <c r="P44" i="3"/>
  <c r="P46" i="3"/>
  <c r="P68" i="3"/>
  <c r="P57" i="3"/>
  <c r="P42" i="3"/>
  <c r="P45" i="3"/>
  <c r="P37" i="3"/>
  <c r="P66" i="3"/>
  <c r="P55" i="3"/>
  <c r="P39" i="3"/>
  <c r="AA54" i="3"/>
  <c r="P65" i="3"/>
  <c r="P53" i="3"/>
  <c r="P38" i="3"/>
  <c r="P59" i="3"/>
  <c r="P51" i="3"/>
  <c r="P43" i="3"/>
  <c r="F87" i="1"/>
  <c r="P64" i="3"/>
  <c r="P52" i="3"/>
  <c r="P36" i="3"/>
  <c r="D173" i="3"/>
  <c r="P63" i="3"/>
  <c r="P50" i="3"/>
  <c r="B90" i="1"/>
  <c r="B217" i="3" s="1"/>
  <c r="P41" i="3"/>
  <c r="P35" i="3"/>
  <c r="P61" i="3"/>
  <c r="P49" i="3"/>
  <c r="P56" i="3"/>
  <c r="P48" i="3"/>
  <c r="P40" i="3"/>
  <c r="P71" i="3"/>
  <c r="P60" i="3"/>
  <c r="P47" i="3"/>
  <c r="AA62" i="3"/>
  <c r="AA43" i="3"/>
  <c r="AA45" i="3"/>
  <c r="P67" i="3"/>
  <c r="AA46" i="3"/>
  <c r="P70" i="3"/>
  <c r="B177" i="3"/>
  <c r="AA40" i="3"/>
  <c r="AA63" i="3"/>
  <c r="AA37" i="3"/>
  <c r="AA68" i="3"/>
  <c r="AA36" i="3"/>
  <c r="AA47" i="3"/>
  <c r="AA55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2" i="3"/>
  <c r="P233" i="3"/>
  <c r="P234" i="3"/>
  <c r="P235" i="3"/>
  <c r="B84" i="1" l="1"/>
  <c r="AF233" i="3"/>
  <c r="AG233" i="3"/>
  <c r="AF224" i="3"/>
  <c r="AG224" i="3"/>
  <c r="AF223" i="3"/>
  <c r="AG223" i="3"/>
  <c r="AG214" i="3"/>
  <c r="AF214" i="3"/>
  <c r="AF234" i="3"/>
  <c r="AG234" i="3"/>
  <c r="AF225" i="3"/>
  <c r="AG225" i="3"/>
  <c r="AF216" i="3"/>
  <c r="AG216" i="3"/>
  <c r="AF215" i="3"/>
  <c r="AG215" i="3"/>
  <c r="AF229" i="3"/>
  <c r="AG229" i="3"/>
  <c r="AG213" i="3"/>
  <c r="AF213" i="3"/>
  <c r="AF226" i="3"/>
  <c r="AG226" i="3"/>
  <c r="AF217" i="3"/>
  <c r="AG217" i="3"/>
  <c r="AF231" i="3"/>
  <c r="AG231" i="3"/>
  <c r="AG230" i="3"/>
  <c r="AF230" i="3"/>
  <c r="AG222" i="3"/>
  <c r="AF222" i="3"/>
  <c r="AG221" i="3"/>
  <c r="AF221" i="3"/>
  <c r="AG228" i="3"/>
  <c r="AF228" i="3"/>
  <c r="AG220" i="3"/>
  <c r="AF220" i="3"/>
  <c r="AG212" i="3"/>
  <c r="AF212" i="3"/>
  <c r="AF218" i="3"/>
  <c r="AG218" i="3"/>
  <c r="AF232" i="3"/>
  <c r="AG232" i="3"/>
  <c r="AG235" i="3"/>
  <c r="AF235" i="3"/>
  <c r="AG227" i="3"/>
  <c r="AF227" i="3"/>
  <c r="AG219" i="3"/>
  <c r="AF219" i="3"/>
  <c r="AG211" i="3"/>
  <c r="AF211" i="3"/>
  <c r="F10" i="5"/>
  <c r="F9" i="5"/>
  <c r="F8" i="5"/>
  <c r="F7" i="5"/>
  <c r="F6" i="5"/>
  <c r="F5" i="5"/>
  <c r="F4" i="5"/>
  <c r="F3" i="5"/>
  <c r="F2" i="5"/>
  <c r="L3" i="5"/>
  <c r="J3" i="5"/>
  <c r="L2" i="5"/>
  <c r="J2" i="5"/>
  <c r="B8" i="5"/>
  <c r="B11" i="5"/>
  <c r="B10" i="5"/>
  <c r="B9" i="5"/>
  <c r="C7" i="5"/>
  <c r="B7" i="5"/>
  <c r="A7" i="5"/>
  <c r="B198" i="3"/>
  <c r="B27" i="1" l="1"/>
  <c r="B25" i="1"/>
  <c r="B59" i="1" l="1"/>
  <c r="B57" i="1"/>
  <c r="K76" i="3" l="1"/>
  <c r="O76" i="3" s="1"/>
  <c r="K77" i="3"/>
  <c r="O77" i="3" s="1"/>
  <c r="K78" i="3"/>
  <c r="O78" i="3" s="1"/>
  <c r="K79" i="3"/>
  <c r="N79" i="3" s="1"/>
  <c r="M79" i="3" s="1"/>
  <c r="K80" i="3"/>
  <c r="O80" i="3" s="1"/>
  <c r="K81" i="3"/>
  <c r="O81" i="3" s="1"/>
  <c r="K82" i="3"/>
  <c r="O82" i="3" s="1"/>
  <c r="K83" i="3"/>
  <c r="O83" i="3" s="1"/>
  <c r="K84" i="3"/>
  <c r="N84" i="3" s="1"/>
  <c r="M84" i="3" s="1"/>
  <c r="K85" i="3"/>
  <c r="O85" i="3" s="1"/>
  <c r="K86" i="3"/>
  <c r="O86" i="3" s="1"/>
  <c r="K87" i="3"/>
  <c r="N87" i="3" s="1"/>
  <c r="M87" i="3" s="1"/>
  <c r="K88" i="3"/>
  <c r="O88" i="3" s="1"/>
  <c r="K89" i="3"/>
  <c r="O89" i="3" s="1"/>
  <c r="K90" i="3"/>
  <c r="O90" i="3" s="1"/>
  <c r="K91" i="3"/>
  <c r="O91" i="3" s="1"/>
  <c r="K92" i="3"/>
  <c r="O92" i="3" s="1"/>
  <c r="K93" i="3"/>
  <c r="O93" i="3" s="1"/>
  <c r="K94" i="3"/>
  <c r="O94" i="3" s="1"/>
  <c r="K95" i="3"/>
  <c r="N95" i="3" s="1"/>
  <c r="M95" i="3" s="1"/>
  <c r="K96" i="3"/>
  <c r="O96" i="3" s="1"/>
  <c r="K97" i="3"/>
  <c r="O97" i="3" s="1"/>
  <c r="K98" i="3"/>
  <c r="N98" i="3" s="1"/>
  <c r="M98" i="3" s="1"/>
  <c r="K99" i="3"/>
  <c r="O99" i="3" s="1"/>
  <c r="K75" i="3"/>
  <c r="N75" i="3" s="1"/>
  <c r="M75" i="3" s="1"/>
  <c r="B161" i="3"/>
  <c r="D163" i="3" s="1"/>
  <c r="N93" i="3" l="1"/>
  <c r="M93" i="3" s="1"/>
  <c r="N94" i="3"/>
  <c r="M94" i="3" s="1"/>
  <c r="N86" i="3"/>
  <c r="M86" i="3" s="1"/>
  <c r="O87" i="3"/>
  <c r="N85" i="3"/>
  <c r="M85" i="3" s="1"/>
  <c r="N78" i="3"/>
  <c r="M78" i="3" s="1"/>
  <c r="N77" i="3"/>
  <c r="M77" i="3" s="1"/>
  <c r="O95" i="3"/>
  <c r="O79" i="3"/>
  <c r="N92" i="3"/>
  <c r="M92" i="3" s="1"/>
  <c r="N76" i="3"/>
  <c r="M76" i="3" s="1"/>
  <c r="N99" i="3"/>
  <c r="M99" i="3" s="1"/>
  <c r="N91" i="3"/>
  <c r="M91" i="3" s="1"/>
  <c r="N83" i="3"/>
  <c r="M83" i="3" s="1"/>
  <c r="O75" i="3"/>
  <c r="O84" i="3"/>
  <c r="N90" i="3"/>
  <c r="M90" i="3" s="1"/>
  <c r="N82" i="3"/>
  <c r="M82" i="3" s="1"/>
  <c r="N97" i="3"/>
  <c r="M97" i="3" s="1"/>
  <c r="N89" i="3"/>
  <c r="M89" i="3" s="1"/>
  <c r="N81" i="3"/>
  <c r="M81" i="3" s="1"/>
  <c r="O98" i="3"/>
  <c r="N96" i="3"/>
  <c r="M96" i="3" s="1"/>
  <c r="N88" i="3"/>
  <c r="M88" i="3" s="1"/>
  <c r="N80" i="3"/>
  <c r="M80" i="3" s="1"/>
  <c r="B48" i="3" l="1"/>
  <c r="B47" i="3"/>
  <c r="B135" i="3"/>
  <c r="B134" i="3"/>
  <c r="B50" i="1"/>
  <c r="P136" i="3" l="1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135" i="3"/>
  <c r="AF185" i="3" l="1"/>
  <c r="AG185" i="3"/>
  <c r="AF153" i="3"/>
  <c r="AG153" i="3"/>
  <c r="AF192" i="3"/>
  <c r="AG192" i="3"/>
  <c r="AF191" i="3"/>
  <c r="AG191" i="3"/>
  <c r="AF167" i="3"/>
  <c r="AG167" i="3"/>
  <c r="AF151" i="3"/>
  <c r="AG151" i="3"/>
  <c r="AG206" i="3"/>
  <c r="AF206" i="3"/>
  <c r="AG198" i="3"/>
  <c r="AF198" i="3"/>
  <c r="AG190" i="3"/>
  <c r="AF190" i="3"/>
  <c r="AG182" i="3"/>
  <c r="AF182" i="3"/>
  <c r="AG174" i="3"/>
  <c r="AF174" i="3"/>
  <c r="AG166" i="3"/>
  <c r="AF166" i="3"/>
  <c r="AG158" i="3"/>
  <c r="AF158" i="3"/>
  <c r="AG150" i="3"/>
  <c r="AF150" i="3"/>
  <c r="AG142" i="3"/>
  <c r="AF142" i="3"/>
  <c r="AF177" i="3"/>
  <c r="AG177" i="3"/>
  <c r="AF137" i="3"/>
  <c r="AG137" i="3"/>
  <c r="AF176" i="3"/>
  <c r="AG176" i="3"/>
  <c r="AF183" i="3"/>
  <c r="AG183" i="3"/>
  <c r="AG197" i="3"/>
  <c r="AF197" i="3"/>
  <c r="AG157" i="3"/>
  <c r="AF157" i="3"/>
  <c r="AF193" i="3"/>
  <c r="AG193" i="3"/>
  <c r="AF145" i="3"/>
  <c r="AG145" i="3"/>
  <c r="AF184" i="3"/>
  <c r="AG184" i="3"/>
  <c r="AF207" i="3"/>
  <c r="AG207" i="3"/>
  <c r="AF175" i="3"/>
  <c r="AG175" i="3"/>
  <c r="AF143" i="3"/>
  <c r="AG143" i="3"/>
  <c r="AG189" i="3"/>
  <c r="AF189" i="3"/>
  <c r="AG181" i="3"/>
  <c r="AF181" i="3"/>
  <c r="AG173" i="3"/>
  <c r="AF173" i="3"/>
  <c r="AG165" i="3"/>
  <c r="AF165" i="3"/>
  <c r="AG149" i="3"/>
  <c r="AF149" i="3"/>
  <c r="AG141" i="3"/>
  <c r="AF141" i="3"/>
  <c r="AG204" i="3"/>
  <c r="AF204" i="3"/>
  <c r="AG196" i="3"/>
  <c r="AF196" i="3"/>
  <c r="AG188" i="3"/>
  <c r="AF188" i="3"/>
  <c r="AG180" i="3"/>
  <c r="AF180" i="3"/>
  <c r="AG172" i="3"/>
  <c r="AF172" i="3"/>
  <c r="AG164" i="3"/>
  <c r="AF164" i="3"/>
  <c r="AG156" i="3"/>
  <c r="AF156" i="3"/>
  <c r="AG148" i="3"/>
  <c r="AF148" i="3"/>
  <c r="AG140" i="3"/>
  <c r="AF140" i="3"/>
  <c r="AF209" i="3"/>
  <c r="AG209" i="3"/>
  <c r="AF169" i="3"/>
  <c r="AG169" i="3"/>
  <c r="AF208" i="3"/>
  <c r="AG208" i="3"/>
  <c r="AF199" i="3"/>
  <c r="AG199" i="3"/>
  <c r="AF159" i="3"/>
  <c r="AG159" i="3"/>
  <c r="AG205" i="3"/>
  <c r="AF205" i="3"/>
  <c r="AG203" i="3"/>
  <c r="AF203" i="3"/>
  <c r="AG195" i="3"/>
  <c r="AF195" i="3"/>
  <c r="AG187" i="3"/>
  <c r="AF187" i="3"/>
  <c r="AG179" i="3"/>
  <c r="AF179" i="3"/>
  <c r="AG171" i="3"/>
  <c r="AF171" i="3"/>
  <c r="AG163" i="3"/>
  <c r="AF163" i="3"/>
  <c r="AG155" i="3"/>
  <c r="AF155" i="3"/>
  <c r="AG147" i="3"/>
  <c r="AF147" i="3"/>
  <c r="AG139" i="3"/>
  <c r="AF139" i="3"/>
  <c r="AF210" i="3"/>
  <c r="AG210" i="3"/>
  <c r="AF202" i="3"/>
  <c r="AG202" i="3"/>
  <c r="AF194" i="3"/>
  <c r="AG194" i="3"/>
  <c r="AF186" i="3"/>
  <c r="AG186" i="3"/>
  <c r="AF178" i="3"/>
  <c r="AG178" i="3"/>
  <c r="AF170" i="3"/>
  <c r="AG170" i="3"/>
  <c r="AF162" i="3"/>
  <c r="AG162" i="3"/>
  <c r="AF154" i="3"/>
  <c r="AG154" i="3"/>
  <c r="AF146" i="3"/>
  <c r="AG146" i="3"/>
  <c r="AF138" i="3"/>
  <c r="AG138" i="3"/>
  <c r="AG201" i="3"/>
  <c r="AF201" i="3"/>
  <c r="AG161" i="3"/>
  <c r="AF161" i="3"/>
  <c r="AF200" i="3"/>
  <c r="AG200" i="3"/>
  <c r="AF168" i="3"/>
  <c r="AG168" i="3"/>
  <c r="AF160" i="3"/>
  <c r="AG160" i="3"/>
  <c r="AF152" i="3"/>
  <c r="AG152" i="3"/>
  <c r="AF144" i="3"/>
  <c r="AG144" i="3"/>
  <c r="AF136" i="3"/>
  <c r="AG136" i="3"/>
  <c r="AF135" i="3"/>
  <c r="AG135" i="3"/>
  <c r="B5" i="5"/>
  <c r="B213" i="3"/>
  <c r="B212" i="3"/>
  <c r="H135" i="3" s="1"/>
  <c r="K138" i="3" l="1"/>
  <c r="K146" i="3"/>
  <c r="K154" i="3"/>
  <c r="K162" i="3"/>
  <c r="L162" i="3" s="1"/>
  <c r="K170" i="3"/>
  <c r="L170" i="3" s="1"/>
  <c r="K178" i="3"/>
  <c r="L178" i="3" s="1"/>
  <c r="K186" i="3"/>
  <c r="L186" i="3" s="1"/>
  <c r="K194" i="3"/>
  <c r="L194" i="3" s="1"/>
  <c r="K202" i="3"/>
  <c r="L202" i="3" s="1"/>
  <c r="K210" i="3"/>
  <c r="K218" i="3"/>
  <c r="K226" i="3"/>
  <c r="L226" i="3" s="1"/>
  <c r="K234" i="3"/>
  <c r="K147" i="3"/>
  <c r="L147" i="3" s="1"/>
  <c r="K155" i="3"/>
  <c r="L155" i="3" s="1"/>
  <c r="K163" i="3"/>
  <c r="L163" i="3" s="1"/>
  <c r="K171" i="3"/>
  <c r="K179" i="3"/>
  <c r="L179" i="3" s="1"/>
  <c r="K187" i="3"/>
  <c r="K195" i="3"/>
  <c r="L195" i="3" s="1"/>
  <c r="K203" i="3"/>
  <c r="L203" i="3" s="1"/>
  <c r="K211" i="3"/>
  <c r="L211" i="3" s="1"/>
  <c r="K219" i="3"/>
  <c r="L219" i="3" s="1"/>
  <c r="K227" i="3"/>
  <c r="L227" i="3" s="1"/>
  <c r="K235" i="3"/>
  <c r="L235" i="3" s="1"/>
  <c r="K148" i="3"/>
  <c r="K156" i="3"/>
  <c r="K172" i="3"/>
  <c r="L172" i="3" s="1"/>
  <c r="K188" i="3"/>
  <c r="L188" i="3" s="1"/>
  <c r="K157" i="3"/>
  <c r="L157" i="3" s="1"/>
  <c r="K181" i="3"/>
  <c r="L181" i="3" s="1"/>
  <c r="K197" i="3"/>
  <c r="L197" i="3" s="1"/>
  <c r="K221" i="3"/>
  <c r="K150" i="3"/>
  <c r="L150" i="3" s="1"/>
  <c r="K174" i="3"/>
  <c r="L174" i="3" s="1"/>
  <c r="K198" i="3"/>
  <c r="L198" i="3" s="1"/>
  <c r="K222" i="3"/>
  <c r="L222" i="3" s="1"/>
  <c r="K151" i="3"/>
  <c r="L151" i="3" s="1"/>
  <c r="K191" i="3"/>
  <c r="L191" i="3" s="1"/>
  <c r="K223" i="3"/>
  <c r="L223" i="3" s="1"/>
  <c r="K168" i="3"/>
  <c r="K184" i="3"/>
  <c r="K216" i="3"/>
  <c r="L216" i="3" s="1"/>
  <c r="K139" i="3"/>
  <c r="L139" i="3" s="1"/>
  <c r="K149" i="3"/>
  <c r="K205" i="3"/>
  <c r="L205" i="3" s="1"/>
  <c r="K158" i="3"/>
  <c r="L158" i="3" s="1"/>
  <c r="K182" i="3"/>
  <c r="L182" i="3" s="1"/>
  <c r="K206" i="3"/>
  <c r="L206" i="3" s="1"/>
  <c r="K159" i="3"/>
  <c r="L159" i="3" s="1"/>
  <c r="K199" i="3"/>
  <c r="L199" i="3" s="1"/>
  <c r="K231" i="3"/>
  <c r="L231" i="3" s="1"/>
  <c r="K176" i="3"/>
  <c r="L176" i="3" s="1"/>
  <c r="K208" i="3"/>
  <c r="L208" i="3" s="1"/>
  <c r="K140" i="3"/>
  <c r="L140" i="3" s="1"/>
  <c r="K183" i="3"/>
  <c r="L183" i="3" s="1"/>
  <c r="K224" i="3"/>
  <c r="L224" i="3" s="1"/>
  <c r="K141" i="3"/>
  <c r="K142" i="3"/>
  <c r="L142" i="3" s="1"/>
  <c r="K160" i="3"/>
  <c r="L160" i="3" s="1"/>
  <c r="K143" i="3"/>
  <c r="L143" i="3" s="1"/>
  <c r="K167" i="3"/>
  <c r="L167" i="3" s="1"/>
  <c r="K207" i="3"/>
  <c r="L207" i="3" s="1"/>
  <c r="K144" i="3"/>
  <c r="L144" i="3" s="1"/>
  <c r="K200" i="3"/>
  <c r="L200" i="3" s="1"/>
  <c r="K136" i="3"/>
  <c r="K137" i="3"/>
  <c r="L137" i="3" s="1"/>
  <c r="K145" i="3"/>
  <c r="L145" i="3" s="1"/>
  <c r="K153" i="3"/>
  <c r="L153" i="3" s="1"/>
  <c r="K161" i="3"/>
  <c r="L161" i="3" s="1"/>
  <c r="K169" i="3"/>
  <c r="L169" i="3" s="1"/>
  <c r="K177" i="3"/>
  <c r="L177" i="3" s="1"/>
  <c r="K185" i="3"/>
  <c r="L185" i="3" s="1"/>
  <c r="K193" i="3"/>
  <c r="L193" i="3" s="1"/>
  <c r="K201" i="3"/>
  <c r="L201" i="3" s="1"/>
  <c r="K209" i="3"/>
  <c r="L209" i="3" s="1"/>
  <c r="K217" i="3"/>
  <c r="L217" i="3" s="1"/>
  <c r="K225" i="3"/>
  <c r="L225" i="3" s="1"/>
  <c r="K233" i="3"/>
  <c r="L233" i="3" s="1"/>
  <c r="K164" i="3"/>
  <c r="L164" i="3" s="1"/>
  <c r="K180" i="3"/>
  <c r="L180" i="3" s="1"/>
  <c r="K196" i="3"/>
  <c r="L196" i="3" s="1"/>
  <c r="K204" i="3"/>
  <c r="L204" i="3" s="1"/>
  <c r="K212" i="3"/>
  <c r="L212" i="3" s="1"/>
  <c r="K220" i="3"/>
  <c r="L220" i="3" s="1"/>
  <c r="K228" i="3"/>
  <c r="L228" i="3" s="1"/>
  <c r="K135" i="3"/>
  <c r="L135" i="3" s="1"/>
  <c r="K165" i="3"/>
  <c r="L165" i="3" s="1"/>
  <c r="K173" i="3"/>
  <c r="L173" i="3" s="1"/>
  <c r="K189" i="3"/>
  <c r="L189" i="3" s="1"/>
  <c r="K213" i="3"/>
  <c r="L213" i="3" s="1"/>
  <c r="K229" i="3"/>
  <c r="L229" i="3" s="1"/>
  <c r="K166" i="3"/>
  <c r="L166" i="3" s="1"/>
  <c r="K190" i="3"/>
  <c r="L190" i="3" s="1"/>
  <c r="K214" i="3"/>
  <c r="L214" i="3" s="1"/>
  <c r="K230" i="3"/>
  <c r="L230" i="3" s="1"/>
  <c r="K175" i="3"/>
  <c r="L175" i="3" s="1"/>
  <c r="K215" i="3"/>
  <c r="L215" i="3" s="1"/>
  <c r="K152" i="3"/>
  <c r="L152" i="3" s="1"/>
  <c r="K192" i="3"/>
  <c r="L192" i="3" s="1"/>
  <c r="K232" i="3"/>
  <c r="L232" i="3" s="1"/>
  <c r="H212" i="3"/>
  <c r="I212" i="3" s="1"/>
  <c r="H219" i="3"/>
  <c r="I219" i="3" s="1"/>
  <c r="H211" i="3"/>
  <c r="I211" i="3" s="1"/>
  <c r="H215" i="3"/>
  <c r="I215" i="3" s="1"/>
  <c r="H218" i="3"/>
  <c r="I218" i="3" s="1"/>
  <c r="H221" i="3"/>
  <c r="I221" i="3" s="1"/>
  <c r="H224" i="3"/>
  <c r="I224" i="3" s="1"/>
  <c r="H228" i="3"/>
  <c r="I228" i="3" s="1"/>
  <c r="H235" i="3"/>
  <c r="I235" i="3" s="1"/>
  <c r="H214" i="3"/>
  <c r="I214" i="3" s="1"/>
  <c r="H226" i="3"/>
  <c r="I226" i="3" s="1"/>
  <c r="H222" i="3"/>
  <c r="I222" i="3" s="1"/>
  <c r="H225" i="3"/>
  <c r="I225" i="3" s="1"/>
  <c r="H217" i="3"/>
  <c r="I217" i="3" s="1"/>
  <c r="H232" i="3"/>
  <c r="I232" i="3" s="1"/>
  <c r="H220" i="3"/>
  <c r="I220" i="3" s="1"/>
  <c r="H227" i="3"/>
  <c r="I227" i="3" s="1"/>
  <c r="H233" i="3"/>
  <c r="I233" i="3" s="1"/>
  <c r="H234" i="3"/>
  <c r="I234" i="3" s="1"/>
  <c r="H229" i="3"/>
  <c r="I229" i="3" s="1"/>
  <c r="H230" i="3"/>
  <c r="I230" i="3" s="1"/>
  <c r="H231" i="3"/>
  <c r="I231" i="3" s="1"/>
  <c r="H223" i="3"/>
  <c r="I223" i="3" s="1"/>
  <c r="H216" i="3"/>
  <c r="I216" i="3" s="1"/>
  <c r="H213" i="3"/>
  <c r="I213" i="3" s="1"/>
  <c r="L218" i="3"/>
  <c r="L234" i="3"/>
  <c r="L221" i="3"/>
  <c r="L154" i="3"/>
  <c r="L171" i="3"/>
  <c r="L187" i="3"/>
  <c r="L168" i="3"/>
  <c r="L184" i="3"/>
  <c r="L210" i="3"/>
  <c r="L156" i="3"/>
  <c r="H151" i="3"/>
  <c r="I151" i="3" s="1"/>
  <c r="H164" i="3"/>
  <c r="I164" i="3" s="1"/>
  <c r="H167" i="3"/>
  <c r="I167" i="3" s="1"/>
  <c r="H180" i="3"/>
  <c r="I180" i="3" s="1"/>
  <c r="H183" i="3"/>
  <c r="I183" i="3" s="1"/>
  <c r="H196" i="3"/>
  <c r="I196" i="3" s="1"/>
  <c r="H199" i="3"/>
  <c r="I199" i="3" s="1"/>
  <c r="H158" i="3"/>
  <c r="I158" i="3" s="1"/>
  <c r="H161" i="3"/>
  <c r="I161" i="3" s="1"/>
  <c r="H174" i="3"/>
  <c r="I174" i="3" s="1"/>
  <c r="H177" i="3"/>
  <c r="I177" i="3" s="1"/>
  <c r="H190" i="3"/>
  <c r="I190" i="3" s="1"/>
  <c r="H193" i="3"/>
  <c r="I193" i="3" s="1"/>
  <c r="H206" i="3"/>
  <c r="I206" i="3" s="1"/>
  <c r="H209" i="3"/>
  <c r="I209" i="3" s="1"/>
  <c r="H152" i="3"/>
  <c r="I152" i="3" s="1"/>
  <c r="H155" i="3"/>
  <c r="I155" i="3" s="1"/>
  <c r="H168" i="3"/>
  <c r="I168" i="3" s="1"/>
  <c r="H171" i="3"/>
  <c r="I171" i="3" s="1"/>
  <c r="H184" i="3"/>
  <c r="I184" i="3" s="1"/>
  <c r="H187" i="3"/>
  <c r="I187" i="3" s="1"/>
  <c r="H200" i="3"/>
  <c r="I200" i="3" s="1"/>
  <c r="H203" i="3"/>
  <c r="I203" i="3" s="1"/>
  <c r="H162" i="3"/>
  <c r="I162" i="3" s="1"/>
  <c r="H165" i="3"/>
  <c r="I165" i="3" s="1"/>
  <c r="H178" i="3"/>
  <c r="I178" i="3" s="1"/>
  <c r="H181" i="3"/>
  <c r="I181" i="3" s="1"/>
  <c r="H194" i="3"/>
  <c r="I194" i="3" s="1"/>
  <c r="H197" i="3"/>
  <c r="I197" i="3" s="1"/>
  <c r="H210" i="3"/>
  <c r="I210" i="3" s="1"/>
  <c r="H156" i="3"/>
  <c r="I156" i="3" s="1"/>
  <c r="H159" i="3"/>
  <c r="I159" i="3" s="1"/>
  <c r="H172" i="3"/>
  <c r="I172" i="3" s="1"/>
  <c r="H175" i="3"/>
  <c r="I175" i="3" s="1"/>
  <c r="H188" i="3"/>
  <c r="I188" i="3" s="1"/>
  <c r="H191" i="3"/>
  <c r="I191" i="3" s="1"/>
  <c r="H204" i="3"/>
  <c r="I204" i="3" s="1"/>
  <c r="H207" i="3"/>
  <c r="I207" i="3" s="1"/>
  <c r="H153" i="3"/>
  <c r="I153" i="3" s="1"/>
  <c r="H166" i="3"/>
  <c r="I166" i="3" s="1"/>
  <c r="H169" i="3"/>
  <c r="I169" i="3" s="1"/>
  <c r="H182" i="3"/>
  <c r="I182" i="3" s="1"/>
  <c r="H185" i="3"/>
  <c r="I185" i="3" s="1"/>
  <c r="H198" i="3"/>
  <c r="I198" i="3" s="1"/>
  <c r="H201" i="3"/>
  <c r="I201" i="3" s="1"/>
  <c r="H202" i="3"/>
  <c r="I202" i="3" s="1"/>
  <c r="H160" i="3"/>
  <c r="I160" i="3" s="1"/>
  <c r="H163" i="3"/>
  <c r="I163" i="3" s="1"/>
  <c r="H176" i="3"/>
  <c r="I176" i="3" s="1"/>
  <c r="H179" i="3"/>
  <c r="I179" i="3" s="1"/>
  <c r="H192" i="3"/>
  <c r="I192" i="3" s="1"/>
  <c r="H195" i="3"/>
  <c r="I195" i="3" s="1"/>
  <c r="H208" i="3"/>
  <c r="I208" i="3" s="1"/>
  <c r="H154" i="3"/>
  <c r="I154" i="3" s="1"/>
  <c r="H157" i="3"/>
  <c r="I157" i="3" s="1"/>
  <c r="H170" i="3"/>
  <c r="I170" i="3" s="1"/>
  <c r="H173" i="3"/>
  <c r="I173" i="3" s="1"/>
  <c r="H186" i="3"/>
  <c r="I186" i="3" s="1"/>
  <c r="H189" i="3"/>
  <c r="I189" i="3" s="1"/>
  <c r="H205" i="3"/>
  <c r="I205" i="3" s="1"/>
  <c r="L136" i="3"/>
  <c r="L148" i="3"/>
  <c r="L141" i="3"/>
  <c r="L138" i="3"/>
  <c r="L146" i="3"/>
  <c r="L149" i="3"/>
  <c r="H136" i="3"/>
  <c r="I136" i="3" s="1"/>
  <c r="H144" i="3"/>
  <c r="I144" i="3" s="1"/>
  <c r="H139" i="3"/>
  <c r="I139" i="3" s="1"/>
  <c r="I135" i="3"/>
  <c r="H137" i="3"/>
  <c r="I137" i="3" s="1"/>
  <c r="H145" i="3"/>
  <c r="I145" i="3" s="1"/>
  <c r="H147" i="3"/>
  <c r="I147" i="3" s="1"/>
  <c r="H148" i="3"/>
  <c r="I148" i="3" s="1"/>
  <c r="H141" i="3"/>
  <c r="I141" i="3" s="1"/>
  <c r="H150" i="3"/>
  <c r="I150" i="3" s="1"/>
  <c r="H143" i="3"/>
  <c r="I143" i="3" s="1"/>
  <c r="H138" i="3"/>
  <c r="I138" i="3" s="1"/>
  <c r="H146" i="3"/>
  <c r="I146" i="3" s="1"/>
  <c r="H140" i="3"/>
  <c r="I140" i="3" s="1"/>
  <c r="H149" i="3"/>
  <c r="I149" i="3" s="1"/>
  <c r="H142" i="3"/>
  <c r="I142" i="3" s="1"/>
  <c r="B2" i="2"/>
  <c r="F14" i="2" s="1"/>
  <c r="B64" i="3" l="1"/>
  <c r="F11" i="5"/>
  <c r="B6" i="5"/>
  <c r="B4" i="5"/>
  <c r="B3" i="5"/>
  <c r="B2" i="5"/>
  <c r="F22" i="1"/>
  <c r="V213" i="3" l="1"/>
  <c r="V216" i="3"/>
  <c r="U218" i="3"/>
  <c r="Y223" i="3"/>
  <c r="Z223" i="3" s="1"/>
  <c r="AA223" i="3" s="1"/>
  <c r="U225" i="3"/>
  <c r="U229" i="3"/>
  <c r="U230" i="3"/>
  <c r="U231" i="3"/>
  <c r="Y232" i="3"/>
  <c r="Z232" i="3" s="1"/>
  <c r="AA232" i="3" s="1"/>
  <c r="Y233" i="3"/>
  <c r="Z233" i="3" s="1"/>
  <c r="AA233" i="3" s="1"/>
  <c r="U226" i="3"/>
  <c r="Y231" i="3"/>
  <c r="Z231" i="3" s="1"/>
  <c r="AA231" i="3" s="1"/>
  <c r="Y214" i="3"/>
  <c r="Z214" i="3" s="1"/>
  <c r="AA214" i="3" s="1"/>
  <c r="V220" i="3"/>
  <c r="V226" i="3"/>
  <c r="V233" i="3"/>
  <c r="U232" i="3"/>
  <c r="U211" i="3"/>
  <c r="U212" i="3"/>
  <c r="Y213" i="3"/>
  <c r="Z213" i="3" s="1"/>
  <c r="AA213" i="3" s="1"/>
  <c r="U215" i="3"/>
  <c r="Y216" i="3"/>
  <c r="Z216" i="3" s="1"/>
  <c r="AA216" i="3" s="1"/>
  <c r="V218" i="3"/>
  <c r="Y219" i="3"/>
  <c r="Z219" i="3" s="1"/>
  <c r="AA219" i="3" s="1"/>
  <c r="Y222" i="3"/>
  <c r="Z222" i="3" s="1"/>
  <c r="AA222" i="3" s="1"/>
  <c r="V225" i="3"/>
  <c r="V229" i="3"/>
  <c r="V230" i="3"/>
  <c r="V231" i="3"/>
  <c r="U228" i="3"/>
  <c r="U217" i="3"/>
  <c r="Y221" i="3"/>
  <c r="Z221" i="3" s="1"/>
  <c r="AA221" i="3" s="1"/>
  <c r="Y224" i="3"/>
  <c r="Z224" i="3" s="1"/>
  <c r="AA224" i="3" s="1"/>
  <c r="V227" i="3"/>
  <c r="U233" i="3"/>
  <c r="Y211" i="3"/>
  <c r="Z211" i="3" s="1"/>
  <c r="AA211" i="3" s="1"/>
  <c r="U219" i="3"/>
  <c r="Y226" i="3"/>
  <c r="Z226" i="3" s="1"/>
  <c r="AA226" i="3" s="1"/>
  <c r="V211" i="3"/>
  <c r="V212" i="3"/>
  <c r="V215" i="3"/>
  <c r="Y218" i="3"/>
  <c r="Z218" i="3" s="1"/>
  <c r="AA218" i="3" s="1"/>
  <c r="U221" i="3"/>
  <c r="U224" i="3"/>
  <c r="Y225" i="3"/>
  <c r="Z225" i="3" s="1"/>
  <c r="AA225" i="3" s="1"/>
  <c r="Y229" i="3"/>
  <c r="Z229" i="3" s="1"/>
  <c r="AA229" i="3" s="1"/>
  <c r="V235" i="3"/>
  <c r="U216" i="3"/>
  <c r="Y227" i="3"/>
  <c r="Z227" i="3" s="1"/>
  <c r="AA227" i="3" s="1"/>
  <c r="Y234" i="3"/>
  <c r="Z234" i="3" s="1"/>
  <c r="AA234" i="3" s="1"/>
  <c r="Y212" i="3"/>
  <c r="Z212" i="3" s="1"/>
  <c r="AA212" i="3" s="1"/>
  <c r="U214" i="3"/>
  <c r="V221" i="3"/>
  <c r="V224" i="3"/>
  <c r="U227" i="3"/>
  <c r="V228" i="3"/>
  <c r="Y230" i="3"/>
  <c r="Z230" i="3" s="1"/>
  <c r="AA230" i="3" s="1"/>
  <c r="U235" i="3"/>
  <c r="U220" i="3"/>
  <c r="U223" i="3"/>
  <c r="Y228" i="3"/>
  <c r="Z228" i="3" s="1"/>
  <c r="AA228" i="3" s="1"/>
  <c r="U234" i="3"/>
  <c r="V217" i="3"/>
  <c r="V223" i="3"/>
  <c r="V234" i="3"/>
  <c r="U213" i="3"/>
  <c r="V222" i="3"/>
  <c r="V232" i="3"/>
  <c r="V214" i="3"/>
  <c r="Y215" i="3"/>
  <c r="Z215" i="3" s="1"/>
  <c r="AA215" i="3" s="1"/>
  <c r="Y235" i="3"/>
  <c r="Z235" i="3" s="1"/>
  <c r="AA235" i="3" s="1"/>
  <c r="Y217" i="3"/>
  <c r="Z217" i="3" s="1"/>
  <c r="AA217" i="3" s="1"/>
  <c r="V219" i="3"/>
  <c r="Y220" i="3"/>
  <c r="Z220" i="3" s="1"/>
  <c r="AA220" i="3" s="1"/>
  <c r="U222" i="3"/>
  <c r="B68" i="3"/>
  <c r="B69" i="3" s="1"/>
  <c r="B71" i="3"/>
  <c r="Y136" i="3"/>
  <c r="Z136" i="3" s="1"/>
  <c r="AA136" i="3" s="1"/>
  <c r="Y144" i="3"/>
  <c r="Z144" i="3" s="1"/>
  <c r="AA144" i="3" s="1"/>
  <c r="Y152" i="3"/>
  <c r="Z152" i="3" s="1"/>
  <c r="AA152" i="3" s="1"/>
  <c r="Y160" i="3"/>
  <c r="Z160" i="3" s="1"/>
  <c r="AA160" i="3" s="1"/>
  <c r="Y168" i="3"/>
  <c r="Z168" i="3" s="1"/>
  <c r="AA168" i="3" s="1"/>
  <c r="Y176" i="3"/>
  <c r="Z176" i="3" s="1"/>
  <c r="AA176" i="3" s="1"/>
  <c r="Y184" i="3"/>
  <c r="Z184" i="3" s="1"/>
  <c r="AA184" i="3" s="1"/>
  <c r="Y192" i="3"/>
  <c r="Z192" i="3" s="1"/>
  <c r="AA192" i="3" s="1"/>
  <c r="Y200" i="3"/>
  <c r="Z200" i="3" s="1"/>
  <c r="AA200" i="3" s="1"/>
  <c r="Y208" i="3"/>
  <c r="Z208" i="3" s="1"/>
  <c r="AA208" i="3" s="1"/>
  <c r="Y181" i="3"/>
  <c r="Z181" i="3" s="1"/>
  <c r="AA181" i="3" s="1"/>
  <c r="Y191" i="3"/>
  <c r="Z191" i="3" s="1"/>
  <c r="AA191" i="3" s="1"/>
  <c r="Y137" i="3"/>
  <c r="Z137" i="3" s="1"/>
  <c r="AA137" i="3" s="1"/>
  <c r="Y145" i="3"/>
  <c r="Z145" i="3" s="1"/>
  <c r="AA145" i="3" s="1"/>
  <c r="Y153" i="3"/>
  <c r="Z153" i="3" s="1"/>
  <c r="AA153" i="3" s="1"/>
  <c r="Y161" i="3"/>
  <c r="Z161" i="3" s="1"/>
  <c r="AA161" i="3" s="1"/>
  <c r="Y169" i="3"/>
  <c r="Z169" i="3" s="1"/>
  <c r="AA169" i="3" s="1"/>
  <c r="Y177" i="3"/>
  <c r="Z177" i="3" s="1"/>
  <c r="AA177" i="3" s="1"/>
  <c r="Y185" i="3"/>
  <c r="Z185" i="3" s="1"/>
  <c r="AA185" i="3" s="1"/>
  <c r="Y193" i="3"/>
  <c r="Z193" i="3" s="1"/>
  <c r="AA193" i="3" s="1"/>
  <c r="Y201" i="3"/>
  <c r="Z201" i="3" s="1"/>
  <c r="AA201" i="3" s="1"/>
  <c r="Y209" i="3"/>
  <c r="Z209" i="3" s="1"/>
  <c r="AA209" i="3" s="1"/>
  <c r="Y189" i="3"/>
  <c r="Z189" i="3" s="1"/>
  <c r="AA189" i="3" s="1"/>
  <c r="Y199" i="3"/>
  <c r="Z199" i="3" s="1"/>
  <c r="AA199" i="3" s="1"/>
  <c r="Y138" i="3"/>
  <c r="Z138" i="3" s="1"/>
  <c r="AA138" i="3" s="1"/>
  <c r="Y146" i="3"/>
  <c r="Z146" i="3" s="1"/>
  <c r="AA146" i="3" s="1"/>
  <c r="Y154" i="3"/>
  <c r="Z154" i="3" s="1"/>
  <c r="AA154" i="3" s="1"/>
  <c r="Y162" i="3"/>
  <c r="Z162" i="3" s="1"/>
  <c r="AA162" i="3" s="1"/>
  <c r="Y170" i="3"/>
  <c r="Z170" i="3" s="1"/>
  <c r="AA170" i="3" s="1"/>
  <c r="Y178" i="3"/>
  <c r="Z178" i="3" s="1"/>
  <c r="AA178" i="3" s="1"/>
  <c r="Y186" i="3"/>
  <c r="Z186" i="3" s="1"/>
  <c r="AA186" i="3" s="1"/>
  <c r="Y194" i="3"/>
  <c r="Z194" i="3" s="1"/>
  <c r="AA194" i="3" s="1"/>
  <c r="Y202" i="3"/>
  <c r="Z202" i="3" s="1"/>
  <c r="AA202" i="3" s="1"/>
  <c r="Y210" i="3"/>
  <c r="Z210" i="3" s="1"/>
  <c r="AA210" i="3" s="1"/>
  <c r="Y205" i="3"/>
  <c r="Z205" i="3" s="1"/>
  <c r="AA205" i="3" s="1"/>
  <c r="Y139" i="3"/>
  <c r="Z139" i="3" s="1"/>
  <c r="AA139" i="3" s="1"/>
  <c r="Y147" i="3"/>
  <c r="Z147" i="3" s="1"/>
  <c r="AA147" i="3" s="1"/>
  <c r="Y155" i="3"/>
  <c r="Z155" i="3" s="1"/>
  <c r="AA155" i="3" s="1"/>
  <c r="Y163" i="3"/>
  <c r="Z163" i="3" s="1"/>
  <c r="AA163" i="3" s="1"/>
  <c r="Y171" i="3"/>
  <c r="Z171" i="3" s="1"/>
  <c r="AA171" i="3" s="1"/>
  <c r="Y179" i="3"/>
  <c r="Z179" i="3" s="1"/>
  <c r="AA179" i="3" s="1"/>
  <c r="Y187" i="3"/>
  <c r="Z187" i="3" s="1"/>
  <c r="AA187" i="3" s="1"/>
  <c r="Y195" i="3"/>
  <c r="Z195" i="3" s="1"/>
  <c r="AA195" i="3" s="1"/>
  <c r="Y203" i="3"/>
  <c r="Z203" i="3" s="1"/>
  <c r="AA203" i="3" s="1"/>
  <c r="Y135" i="3"/>
  <c r="Z135" i="3" s="1"/>
  <c r="AA135" i="3" s="1"/>
  <c r="Y149" i="3"/>
  <c r="Z149" i="3" s="1"/>
  <c r="AA149" i="3" s="1"/>
  <c r="Y165" i="3"/>
  <c r="Z165" i="3" s="1"/>
  <c r="AA165" i="3" s="1"/>
  <c r="Y197" i="3"/>
  <c r="Z197" i="3" s="1"/>
  <c r="AA197" i="3" s="1"/>
  <c r="Y140" i="3"/>
  <c r="Z140" i="3" s="1"/>
  <c r="AA140" i="3" s="1"/>
  <c r="Y148" i="3"/>
  <c r="Z148" i="3" s="1"/>
  <c r="AA148" i="3" s="1"/>
  <c r="Y156" i="3"/>
  <c r="Z156" i="3" s="1"/>
  <c r="AA156" i="3" s="1"/>
  <c r="Y164" i="3"/>
  <c r="Z164" i="3" s="1"/>
  <c r="AA164" i="3" s="1"/>
  <c r="Y172" i="3"/>
  <c r="Z172" i="3" s="1"/>
  <c r="AA172" i="3" s="1"/>
  <c r="Y180" i="3"/>
  <c r="Z180" i="3" s="1"/>
  <c r="AA180" i="3" s="1"/>
  <c r="Y188" i="3"/>
  <c r="Z188" i="3" s="1"/>
  <c r="AA188" i="3" s="1"/>
  <c r="Y196" i="3"/>
  <c r="Z196" i="3" s="1"/>
  <c r="AA196" i="3" s="1"/>
  <c r="Y204" i="3"/>
  <c r="Z204" i="3" s="1"/>
  <c r="AA204" i="3" s="1"/>
  <c r="Y141" i="3"/>
  <c r="Z141" i="3" s="1"/>
  <c r="AA141" i="3" s="1"/>
  <c r="Y157" i="3"/>
  <c r="Z157" i="3" s="1"/>
  <c r="AA157" i="3" s="1"/>
  <c r="Y173" i="3"/>
  <c r="Z173" i="3" s="1"/>
  <c r="AA173" i="3" s="1"/>
  <c r="Y207" i="3"/>
  <c r="Z207" i="3" s="1"/>
  <c r="AA207" i="3" s="1"/>
  <c r="Y142" i="3"/>
  <c r="Z142" i="3" s="1"/>
  <c r="AA142" i="3" s="1"/>
  <c r="Y150" i="3"/>
  <c r="Z150" i="3" s="1"/>
  <c r="AA150" i="3" s="1"/>
  <c r="Y158" i="3"/>
  <c r="Z158" i="3" s="1"/>
  <c r="AA158" i="3" s="1"/>
  <c r="Y166" i="3"/>
  <c r="Z166" i="3" s="1"/>
  <c r="AA166" i="3" s="1"/>
  <c r="Y174" i="3"/>
  <c r="Z174" i="3" s="1"/>
  <c r="AA174" i="3" s="1"/>
  <c r="Y182" i="3"/>
  <c r="Z182" i="3" s="1"/>
  <c r="AA182" i="3" s="1"/>
  <c r="Y190" i="3"/>
  <c r="Z190" i="3" s="1"/>
  <c r="AA190" i="3" s="1"/>
  <c r="Y198" i="3"/>
  <c r="Z198" i="3" s="1"/>
  <c r="AA198" i="3" s="1"/>
  <c r="Y206" i="3"/>
  <c r="Z206" i="3" s="1"/>
  <c r="AA206" i="3" s="1"/>
  <c r="Y143" i="3"/>
  <c r="Z143" i="3" s="1"/>
  <c r="AA143" i="3" s="1"/>
  <c r="Y151" i="3"/>
  <c r="Z151" i="3" s="1"/>
  <c r="AA151" i="3" s="1"/>
  <c r="Y159" i="3"/>
  <c r="Z159" i="3" s="1"/>
  <c r="AA159" i="3" s="1"/>
  <c r="Y167" i="3"/>
  <c r="Z167" i="3" s="1"/>
  <c r="AA167" i="3" s="1"/>
  <c r="Y175" i="3"/>
  <c r="Z175" i="3" s="1"/>
  <c r="AA175" i="3" s="1"/>
  <c r="Y183" i="3"/>
  <c r="Z183" i="3" s="1"/>
  <c r="AA183" i="3" s="1"/>
  <c r="V136" i="3"/>
  <c r="U137" i="3"/>
  <c r="U138" i="3"/>
  <c r="V139" i="3"/>
  <c r="U164" i="3"/>
  <c r="V165" i="3"/>
  <c r="V166" i="3"/>
  <c r="V167" i="3"/>
  <c r="V168" i="3"/>
  <c r="U169" i="3"/>
  <c r="U170" i="3"/>
  <c r="V171" i="3"/>
  <c r="V176" i="3"/>
  <c r="U177" i="3"/>
  <c r="U178" i="3"/>
  <c r="V179" i="3"/>
  <c r="V184" i="3"/>
  <c r="U185" i="3"/>
  <c r="U186" i="3"/>
  <c r="V187" i="3"/>
  <c r="V192" i="3"/>
  <c r="U193" i="3"/>
  <c r="U194" i="3"/>
  <c r="V195" i="3"/>
  <c r="V200" i="3"/>
  <c r="U201" i="3"/>
  <c r="U202" i="3"/>
  <c r="V203" i="3"/>
  <c r="V208" i="3"/>
  <c r="U209" i="3"/>
  <c r="U210" i="3"/>
  <c r="V202" i="3"/>
  <c r="B65" i="3"/>
  <c r="V137" i="3"/>
  <c r="V138" i="3"/>
  <c r="U157" i="3"/>
  <c r="U158" i="3"/>
  <c r="U159" i="3"/>
  <c r="U160" i="3"/>
  <c r="U163" i="3"/>
  <c r="V164" i="3"/>
  <c r="V169" i="3"/>
  <c r="V170" i="3"/>
  <c r="V177" i="3"/>
  <c r="V178" i="3"/>
  <c r="V185" i="3"/>
  <c r="V186" i="3"/>
  <c r="V193" i="3"/>
  <c r="V194" i="3"/>
  <c r="V201" i="3"/>
  <c r="U156" i="3"/>
  <c r="V157" i="3"/>
  <c r="V158" i="3"/>
  <c r="V159" i="3"/>
  <c r="V160" i="3"/>
  <c r="U161" i="3"/>
  <c r="U162" i="3"/>
  <c r="V163" i="3"/>
  <c r="V149" i="3"/>
  <c r="V150" i="3"/>
  <c r="V152" i="3"/>
  <c r="U154" i="3"/>
  <c r="V155" i="3"/>
  <c r="U149" i="3"/>
  <c r="U150" i="3"/>
  <c r="U151" i="3"/>
  <c r="U152" i="3"/>
  <c r="U155" i="3"/>
  <c r="V156" i="3"/>
  <c r="V161" i="3"/>
  <c r="V162" i="3"/>
  <c r="U148" i="3"/>
  <c r="V151" i="3"/>
  <c r="U153" i="3"/>
  <c r="U140" i="3"/>
  <c r="V141" i="3"/>
  <c r="V142" i="3"/>
  <c r="V143" i="3"/>
  <c r="V144" i="3"/>
  <c r="U145" i="3"/>
  <c r="U146" i="3"/>
  <c r="V147" i="3"/>
  <c r="U172" i="3"/>
  <c r="V173" i="3"/>
  <c r="V174" i="3"/>
  <c r="U175" i="3"/>
  <c r="U180" i="3"/>
  <c r="V181" i="3"/>
  <c r="V182" i="3"/>
  <c r="U183" i="3"/>
  <c r="U188" i="3"/>
  <c r="V189" i="3"/>
  <c r="V190" i="3"/>
  <c r="U191" i="3"/>
  <c r="U196" i="3"/>
  <c r="V197" i="3"/>
  <c r="V198" i="3"/>
  <c r="U199" i="3"/>
  <c r="U204" i="3"/>
  <c r="U136" i="3"/>
  <c r="U139" i="3"/>
  <c r="V140" i="3"/>
  <c r="V145" i="3"/>
  <c r="U147" i="3"/>
  <c r="V153" i="3"/>
  <c r="U168" i="3"/>
  <c r="U176" i="3"/>
  <c r="U184" i="3"/>
  <c r="U198" i="3"/>
  <c r="U208" i="3"/>
  <c r="U135" i="3"/>
  <c r="U190" i="3"/>
  <c r="V196" i="3"/>
  <c r="V204" i="3"/>
  <c r="U197" i="3"/>
  <c r="U142" i="3"/>
  <c r="U195" i="3"/>
  <c r="U205" i="3"/>
  <c r="U144" i="3"/>
  <c r="U171" i="3"/>
  <c r="U174" i="3"/>
  <c r="U179" i="3"/>
  <c r="U182" i="3"/>
  <c r="U187" i="3"/>
  <c r="U192" i="3"/>
  <c r="U200" i="3"/>
  <c r="U207" i="3"/>
  <c r="U203" i="3"/>
  <c r="V210" i="3"/>
  <c r="V148" i="3"/>
  <c r="V154" i="3"/>
  <c r="U166" i="3"/>
  <c r="V207" i="3"/>
  <c r="V180" i="3"/>
  <c r="V206" i="3"/>
  <c r="U167" i="3"/>
  <c r="V183" i="3"/>
  <c r="V199" i="3"/>
  <c r="V135" i="3"/>
  <c r="U141" i="3"/>
  <c r="U206" i="3"/>
  <c r="V172" i="3"/>
  <c r="V188" i="3"/>
  <c r="V175" i="3"/>
  <c r="V209" i="3"/>
  <c r="V146" i="3"/>
  <c r="U173" i="3"/>
  <c r="U181" i="3"/>
  <c r="U189" i="3"/>
  <c r="V191" i="3"/>
  <c r="V205" i="3"/>
  <c r="U143" i="3"/>
  <c r="U165" i="3"/>
  <c r="B197" i="3"/>
  <c r="B183" i="3"/>
  <c r="B168" i="3"/>
  <c r="B167" i="3"/>
  <c r="B169" i="3" s="1"/>
  <c r="B61" i="1" s="1"/>
  <c r="B162" i="3"/>
  <c r="B163" i="3"/>
  <c r="B155" i="3"/>
  <c r="B148" i="3"/>
  <c r="B136" i="3"/>
  <c r="B127" i="3"/>
  <c r="B123" i="3"/>
  <c r="B125" i="3" s="1"/>
  <c r="F144" i="1" s="1"/>
  <c r="B110" i="3"/>
  <c r="B109" i="3"/>
  <c r="B98" i="3"/>
  <c r="F96" i="1"/>
  <c r="B96" i="3"/>
  <c r="B98" i="1"/>
  <c r="B50" i="3"/>
  <c r="B49" i="3"/>
  <c r="B40" i="3"/>
  <c r="B58" i="3" s="1"/>
  <c r="B38" i="3"/>
  <c r="B37" i="3"/>
  <c r="B36" i="3"/>
  <c r="B35" i="3"/>
  <c r="B10" i="3"/>
  <c r="B9" i="3"/>
  <c r="B8" i="3"/>
  <c r="B170" i="3" l="1"/>
  <c r="B206" i="3" s="1"/>
  <c r="B21" i="1"/>
  <c r="B186" i="3"/>
  <c r="B187" i="3" s="1"/>
  <c r="Q217" i="3"/>
  <c r="Q220" i="3"/>
  <c r="Q223" i="3"/>
  <c r="Q226" i="3"/>
  <c r="Q233" i="3"/>
  <c r="Q234" i="3"/>
  <c r="Q225" i="3"/>
  <c r="Q230" i="3"/>
  <c r="Q211" i="3"/>
  <c r="Q214" i="3"/>
  <c r="Q219" i="3"/>
  <c r="Q231" i="3"/>
  <c r="Q235" i="3"/>
  <c r="Q222" i="3"/>
  <c r="Q232" i="3"/>
  <c r="Q229" i="3"/>
  <c r="Q213" i="3"/>
  <c r="Q216" i="3"/>
  <c r="Q212" i="3"/>
  <c r="Q215" i="3"/>
  <c r="Q227" i="3"/>
  <c r="Q218" i="3"/>
  <c r="Q221" i="3"/>
  <c r="Q224" i="3"/>
  <c r="Q228" i="3"/>
  <c r="R214" i="3"/>
  <c r="R227" i="3"/>
  <c r="R235" i="3"/>
  <c r="R213" i="3"/>
  <c r="R230" i="3"/>
  <c r="R217" i="3"/>
  <c r="R220" i="3"/>
  <c r="R223" i="3"/>
  <c r="R226" i="3"/>
  <c r="R233" i="3"/>
  <c r="R234" i="3"/>
  <c r="R218" i="3"/>
  <c r="R224" i="3"/>
  <c r="R219" i="3"/>
  <c r="R222" i="3"/>
  <c r="R232" i="3"/>
  <c r="R216" i="3"/>
  <c r="R231" i="3"/>
  <c r="R228" i="3"/>
  <c r="R225" i="3"/>
  <c r="R229" i="3"/>
  <c r="R221" i="3"/>
  <c r="R211" i="3"/>
  <c r="R212" i="3"/>
  <c r="R215" i="3"/>
  <c r="J213" i="3"/>
  <c r="J225" i="3"/>
  <c r="J229" i="3"/>
  <c r="J231" i="3"/>
  <c r="M230" i="3"/>
  <c r="J235" i="3"/>
  <c r="M234" i="3"/>
  <c r="J221" i="3"/>
  <c r="J233" i="3"/>
  <c r="M217" i="3"/>
  <c r="M227" i="3"/>
  <c r="J218" i="3"/>
  <c r="J234" i="3"/>
  <c r="M222" i="3"/>
  <c r="J212" i="3"/>
  <c r="J226" i="3"/>
  <c r="J224" i="3"/>
  <c r="M224" i="3"/>
  <c r="M223" i="3"/>
  <c r="M226" i="3"/>
  <c r="M213" i="3"/>
  <c r="J230" i="3"/>
  <c r="M221" i="3"/>
  <c r="M231" i="3"/>
  <c r="J228" i="3"/>
  <c r="J214" i="3"/>
  <c r="M216" i="3"/>
  <c r="J223" i="3"/>
  <c r="J211" i="3"/>
  <c r="J219" i="3"/>
  <c r="J232" i="3"/>
  <c r="J215" i="3"/>
  <c r="J222" i="3"/>
  <c r="M225" i="3"/>
  <c r="M235" i="3"/>
  <c r="M233" i="3"/>
  <c r="J217" i="3"/>
  <c r="J227" i="3"/>
  <c r="M214" i="3"/>
  <c r="M218" i="3"/>
  <c r="J220" i="3"/>
  <c r="M228" i="3"/>
  <c r="J216" i="3"/>
  <c r="M215" i="3"/>
  <c r="M220" i="3"/>
  <c r="M212" i="3"/>
  <c r="M229" i="3"/>
  <c r="M219" i="3"/>
  <c r="M232" i="3"/>
  <c r="M211" i="3"/>
  <c r="B15" i="3"/>
  <c r="O68" i="3"/>
  <c r="O37" i="3"/>
  <c r="O70" i="3"/>
  <c r="O39" i="3"/>
  <c r="O47" i="3"/>
  <c r="O55" i="3"/>
  <c r="O63" i="3"/>
  <c r="O71" i="3"/>
  <c r="O49" i="3"/>
  <c r="O65" i="3"/>
  <c r="O59" i="3"/>
  <c r="O52" i="3"/>
  <c r="O53" i="3"/>
  <c r="O38" i="3"/>
  <c r="O40" i="3"/>
  <c r="O48" i="3"/>
  <c r="O56" i="3"/>
  <c r="O64" i="3"/>
  <c r="O35" i="3"/>
  <c r="O41" i="3"/>
  <c r="O57" i="3"/>
  <c r="O51" i="3"/>
  <c r="O36" i="3"/>
  <c r="O45" i="3"/>
  <c r="O46" i="3"/>
  <c r="O44" i="3"/>
  <c r="O69" i="3"/>
  <c r="O62" i="3"/>
  <c r="O42" i="3"/>
  <c r="O50" i="3"/>
  <c r="O58" i="3"/>
  <c r="O66" i="3"/>
  <c r="O43" i="3"/>
  <c r="O67" i="3"/>
  <c r="O60" i="3"/>
  <c r="O61" i="3"/>
  <c r="O54" i="3"/>
  <c r="B77" i="3"/>
  <c r="B78" i="3"/>
  <c r="B101" i="1"/>
  <c r="Q135" i="3"/>
  <c r="Q148" i="3"/>
  <c r="Q153" i="3"/>
  <c r="Q154" i="3"/>
  <c r="Q141" i="3"/>
  <c r="Q142" i="3"/>
  <c r="Q143" i="3"/>
  <c r="Q144" i="3"/>
  <c r="Q147" i="3"/>
  <c r="Q173" i="3"/>
  <c r="Q174" i="3"/>
  <c r="Q181" i="3"/>
  <c r="Q182" i="3"/>
  <c r="Q189" i="3"/>
  <c r="Q190" i="3"/>
  <c r="Q197" i="3"/>
  <c r="Q198" i="3"/>
  <c r="Q140" i="3"/>
  <c r="Q145" i="3"/>
  <c r="Q146" i="3"/>
  <c r="Q172" i="3"/>
  <c r="Q175" i="3"/>
  <c r="Q180" i="3"/>
  <c r="Q183" i="3"/>
  <c r="Q188" i="3"/>
  <c r="Q191" i="3"/>
  <c r="Q196" i="3"/>
  <c r="Q199" i="3"/>
  <c r="Q204" i="3"/>
  <c r="Q207" i="3"/>
  <c r="Q137" i="3"/>
  <c r="Q169" i="3"/>
  <c r="Q178" i="3"/>
  <c r="Q185" i="3"/>
  <c r="Q136" i="3"/>
  <c r="Q139" i="3"/>
  <c r="Q165" i="3"/>
  <c r="Q166" i="3"/>
  <c r="Q167" i="3"/>
  <c r="Q168" i="3"/>
  <c r="Q171" i="3"/>
  <c r="Q176" i="3"/>
  <c r="Q179" i="3"/>
  <c r="Q184" i="3"/>
  <c r="Q187" i="3"/>
  <c r="Q192" i="3"/>
  <c r="Q195" i="3"/>
  <c r="Q200" i="3"/>
  <c r="Q203" i="3"/>
  <c r="Q208" i="3"/>
  <c r="Q138" i="3"/>
  <c r="Q164" i="3"/>
  <c r="Q170" i="3"/>
  <c r="Q177" i="3"/>
  <c r="Q186" i="3"/>
  <c r="Q156" i="3"/>
  <c r="Q161" i="3"/>
  <c r="Q162" i="3"/>
  <c r="Q157" i="3"/>
  <c r="Q163" i="3"/>
  <c r="Q210" i="3"/>
  <c r="Q160" i="3"/>
  <c r="Q206" i="3"/>
  <c r="Q151" i="3"/>
  <c r="Q158" i="3"/>
  <c r="Q193" i="3"/>
  <c r="Q201" i="3"/>
  <c r="Q205" i="3"/>
  <c r="Q209" i="3"/>
  <c r="Q149" i="3"/>
  <c r="Q155" i="3"/>
  <c r="Q152" i="3"/>
  <c r="Q202" i="3"/>
  <c r="Q159" i="3"/>
  <c r="Q150" i="3"/>
  <c r="Q194" i="3"/>
  <c r="R135" i="3"/>
  <c r="R149" i="3"/>
  <c r="R150" i="3"/>
  <c r="R151" i="3"/>
  <c r="R152" i="3"/>
  <c r="R155" i="3"/>
  <c r="R148" i="3"/>
  <c r="R153" i="3"/>
  <c r="R154" i="3"/>
  <c r="R141" i="3"/>
  <c r="R142" i="3"/>
  <c r="R143" i="3"/>
  <c r="R144" i="3"/>
  <c r="R147" i="3"/>
  <c r="R173" i="3"/>
  <c r="R174" i="3"/>
  <c r="R181" i="3"/>
  <c r="R182" i="3"/>
  <c r="R189" i="3"/>
  <c r="R190" i="3"/>
  <c r="R197" i="3"/>
  <c r="R198" i="3"/>
  <c r="R205" i="3"/>
  <c r="R206" i="3"/>
  <c r="R139" i="3"/>
  <c r="R166" i="3"/>
  <c r="R171" i="3"/>
  <c r="R176" i="3"/>
  <c r="R187" i="3"/>
  <c r="R140" i="3"/>
  <c r="R145" i="3"/>
  <c r="R146" i="3"/>
  <c r="R172" i="3"/>
  <c r="R175" i="3"/>
  <c r="R180" i="3"/>
  <c r="R183" i="3"/>
  <c r="R188" i="3"/>
  <c r="R191" i="3"/>
  <c r="R196" i="3"/>
  <c r="R199" i="3"/>
  <c r="R204" i="3"/>
  <c r="R207" i="3"/>
  <c r="R136" i="3"/>
  <c r="R165" i="3"/>
  <c r="R167" i="3"/>
  <c r="R168" i="3"/>
  <c r="R179" i="3"/>
  <c r="R184" i="3"/>
  <c r="R192" i="3"/>
  <c r="R157" i="3"/>
  <c r="R158" i="3"/>
  <c r="R159" i="3"/>
  <c r="R160" i="3"/>
  <c r="R163" i="3"/>
  <c r="R194" i="3"/>
  <c r="R202" i="3"/>
  <c r="R178" i="3"/>
  <c r="R138" i="3"/>
  <c r="R170" i="3"/>
  <c r="R186" i="3"/>
  <c r="R169" i="3"/>
  <c r="R177" i="3"/>
  <c r="R185" i="3"/>
  <c r="R210" i="3"/>
  <c r="R193" i="3"/>
  <c r="R201" i="3"/>
  <c r="R208" i="3"/>
  <c r="R200" i="3"/>
  <c r="R137" i="3"/>
  <c r="R164" i="3"/>
  <c r="R195" i="3"/>
  <c r="R203" i="3"/>
  <c r="R161" i="3"/>
  <c r="R209" i="3"/>
  <c r="R156" i="3"/>
  <c r="R162" i="3"/>
  <c r="B42" i="3"/>
  <c r="B44" i="3" s="1"/>
  <c r="J195" i="3"/>
  <c r="J177" i="3"/>
  <c r="M205" i="3"/>
  <c r="M196" i="3"/>
  <c r="M208" i="3"/>
  <c r="M170" i="3"/>
  <c r="M186" i="3"/>
  <c r="J157" i="3"/>
  <c r="M185" i="3"/>
  <c r="J191" i="3"/>
  <c r="M210" i="3"/>
  <c r="J135" i="3"/>
  <c r="M144" i="3"/>
  <c r="M182" i="3"/>
  <c r="J142" i="3"/>
  <c r="J174" i="3"/>
  <c r="J138" i="3"/>
  <c r="M136" i="3"/>
  <c r="M179" i="3"/>
  <c r="M175" i="3"/>
  <c r="M140" i="3"/>
  <c r="J200" i="3"/>
  <c r="M209" i="3"/>
  <c r="M201" i="3"/>
  <c r="J136" i="3"/>
  <c r="M199" i="3"/>
  <c r="M195" i="3"/>
  <c r="M160" i="3"/>
  <c r="M156" i="3"/>
  <c r="J167" i="3"/>
  <c r="M135" i="3"/>
  <c r="M142" i="3"/>
  <c r="J158" i="3"/>
  <c r="M176" i="3"/>
  <c r="J173" i="3"/>
  <c r="J160" i="3"/>
  <c r="M191" i="3"/>
  <c r="M166" i="3"/>
  <c r="M203" i="3"/>
  <c r="M141" i="3"/>
  <c r="J154" i="3"/>
  <c r="M172" i="3"/>
  <c r="J198" i="3"/>
  <c r="M200" i="3"/>
  <c r="J170" i="3"/>
  <c r="J208" i="3"/>
  <c r="M169" i="3"/>
  <c r="J202" i="3"/>
  <c r="J180" i="3"/>
  <c r="J159" i="3"/>
  <c r="J152" i="3"/>
  <c r="M189" i="3"/>
  <c r="M143" i="3"/>
  <c r="J145" i="3"/>
  <c r="J187" i="3"/>
  <c r="M187" i="3"/>
  <c r="M173" i="3"/>
  <c r="J206" i="3"/>
  <c r="J193" i="3"/>
  <c r="J190" i="3"/>
  <c r="M148" i="3"/>
  <c r="J196" i="3"/>
  <c r="J183" i="3"/>
  <c r="J189" i="3"/>
  <c r="M163" i="3"/>
  <c r="J194" i="3"/>
  <c r="J172" i="3"/>
  <c r="M198" i="3"/>
  <c r="M145" i="3"/>
  <c r="J161" i="3"/>
  <c r="J153" i="3"/>
  <c r="M181" i="3"/>
  <c r="M155" i="3"/>
  <c r="J146" i="3"/>
  <c r="J163" i="3"/>
  <c r="M178" i="3"/>
  <c r="M192" i="3"/>
  <c r="J201" i="3"/>
  <c r="M165" i="3"/>
  <c r="J209" i="3"/>
  <c r="J155" i="3"/>
  <c r="J165" i="3"/>
  <c r="J178" i="3"/>
  <c r="J179" i="3"/>
  <c r="J186" i="3"/>
  <c r="M204" i="3"/>
  <c r="J148" i="3"/>
  <c r="M183" i="3"/>
  <c r="J192" i="3"/>
  <c r="M153" i="3"/>
  <c r="M152" i="3"/>
  <c r="J151" i="3"/>
  <c r="M188" i="3"/>
  <c r="J184" i="3"/>
  <c r="M193" i="3"/>
  <c r="J156" i="3"/>
  <c r="M174" i="3"/>
  <c r="J149" i="3"/>
  <c r="J137" i="3"/>
  <c r="J162" i="3"/>
  <c r="J207" i="3"/>
  <c r="M168" i="3"/>
  <c r="M202" i="3"/>
  <c r="M150" i="3"/>
  <c r="J204" i="3"/>
  <c r="J166" i="3"/>
  <c r="J150" i="3"/>
  <c r="J141" i="3"/>
  <c r="J205" i="3"/>
  <c r="J199" i="3"/>
  <c r="M154" i="3"/>
  <c r="M151" i="3"/>
  <c r="M180" i="3"/>
  <c r="J168" i="3"/>
  <c r="J175" i="3"/>
  <c r="J185" i="3"/>
  <c r="M159" i="3"/>
  <c r="M137" i="3"/>
  <c r="M197" i="3"/>
  <c r="M194" i="3"/>
  <c r="M162" i="3"/>
  <c r="M149" i="3"/>
  <c r="J203" i="3"/>
  <c r="M177" i="3"/>
  <c r="J140" i="3"/>
  <c r="J176" i="3"/>
  <c r="M147" i="3"/>
  <c r="J210" i="3"/>
  <c r="M171" i="3"/>
  <c r="J147" i="3"/>
  <c r="J169" i="3"/>
  <c r="J139" i="3"/>
  <c r="J197" i="3"/>
  <c r="M158" i="3"/>
  <c r="J188" i="3"/>
  <c r="M206" i="3"/>
  <c r="M139" i="3"/>
  <c r="M184" i="3"/>
  <c r="M167" i="3"/>
  <c r="M164" i="3"/>
  <c r="M161" i="3"/>
  <c r="J182" i="3"/>
  <c r="J144" i="3"/>
  <c r="M207" i="3"/>
  <c r="J171" i="3"/>
  <c r="J164" i="3"/>
  <c r="M146" i="3"/>
  <c r="M138" i="3"/>
  <c r="J181" i="3"/>
  <c r="J143" i="3"/>
  <c r="M190" i="3"/>
  <c r="M157" i="3"/>
  <c r="B6" i="3"/>
  <c r="B103" i="1"/>
  <c r="F38" i="1"/>
  <c r="B23" i="3"/>
  <c r="B92" i="3"/>
  <c r="B210" i="3"/>
  <c r="B12" i="2" s="1"/>
  <c r="B34" i="3"/>
  <c r="B113" i="3"/>
  <c r="B115" i="3" s="1"/>
  <c r="B128" i="3"/>
  <c r="B129" i="3" s="1"/>
  <c r="B43" i="3"/>
  <c r="B45" i="3" s="1"/>
  <c r="B112" i="3"/>
  <c r="B199" i="3"/>
  <c r="B25" i="3"/>
  <c r="B21" i="3" s="1"/>
  <c r="B22" i="3" s="1"/>
  <c r="B52" i="3"/>
  <c r="B102" i="3"/>
  <c r="B166" i="3"/>
  <c r="B203" i="3" s="1"/>
  <c r="B51" i="3"/>
  <c r="B124" i="3"/>
  <c r="B19" i="3"/>
  <c r="B57" i="3"/>
  <c r="B11" i="3"/>
  <c r="B12" i="3" s="1"/>
  <c r="B13" i="3" s="1"/>
  <c r="B144" i="3"/>
  <c r="B100" i="3"/>
  <c r="B101" i="3" s="1"/>
  <c r="F12" i="2" l="1"/>
  <c r="B149" i="1"/>
  <c r="B240" i="3"/>
  <c r="B242" i="3" s="1"/>
  <c r="B200" i="3"/>
  <c r="B201" i="3" s="1"/>
  <c r="B202" i="3" s="1"/>
  <c r="B159" i="3"/>
  <c r="B130" i="3"/>
  <c r="B131" i="3" s="1"/>
  <c r="B20" i="3"/>
  <c r="X224" i="3"/>
  <c r="X212" i="3"/>
  <c r="X234" i="3"/>
  <c r="X230" i="3"/>
  <c r="X218" i="3"/>
  <c r="W225" i="3"/>
  <c r="W216" i="3"/>
  <c r="W224" i="3"/>
  <c r="X220" i="3"/>
  <c r="X225" i="3"/>
  <c r="X228" i="3"/>
  <c r="W212" i="3"/>
  <c r="W214" i="3"/>
  <c r="W228" i="3"/>
  <c r="X213" i="3"/>
  <c r="X232" i="3"/>
  <c r="X217" i="3"/>
  <c r="W221" i="3"/>
  <c r="X222" i="3"/>
  <c r="T211" i="3"/>
  <c r="T212" i="3"/>
  <c r="T215" i="3"/>
  <c r="X219" i="3"/>
  <c r="S221" i="3"/>
  <c r="W222" i="3"/>
  <c r="S224" i="3"/>
  <c r="S228" i="3"/>
  <c r="T234" i="3"/>
  <c r="S213" i="3"/>
  <c r="T232" i="3"/>
  <c r="S212" i="3"/>
  <c r="T230" i="3"/>
  <c r="S214" i="3"/>
  <c r="T221" i="3"/>
  <c r="T224" i="3"/>
  <c r="S227" i="3"/>
  <c r="T228" i="3"/>
  <c r="S235" i="3"/>
  <c r="T227" i="3"/>
  <c r="W231" i="3"/>
  <c r="S233" i="3"/>
  <c r="S234" i="3"/>
  <c r="T235" i="3"/>
  <c r="X215" i="3"/>
  <c r="S216" i="3"/>
  <c r="X235" i="3"/>
  <c r="T225" i="3"/>
  <c r="T229" i="3"/>
  <c r="T214" i="3"/>
  <c r="S217" i="3"/>
  <c r="S220" i="3"/>
  <c r="S223" i="3"/>
  <c r="S226" i="3"/>
  <c r="W229" i="3"/>
  <c r="W230" i="3"/>
  <c r="S232" i="3"/>
  <c r="W235" i="3"/>
  <c r="S231" i="3"/>
  <c r="X223" i="3"/>
  <c r="T231" i="3"/>
  <c r="X233" i="3"/>
  <c r="W211" i="3"/>
  <c r="W215" i="3"/>
  <c r="T217" i="3"/>
  <c r="S219" i="3"/>
  <c r="T220" i="3"/>
  <c r="T223" i="3"/>
  <c r="AC223" i="3" s="1"/>
  <c r="AE223" i="3" s="1"/>
  <c r="AI223" i="3" s="1"/>
  <c r="T226" i="3"/>
  <c r="X229" i="3"/>
  <c r="X231" i="3"/>
  <c r="T233" i="3"/>
  <c r="T219" i="3"/>
  <c r="T222" i="3"/>
  <c r="W233" i="3"/>
  <c r="W234" i="3"/>
  <c r="S211" i="3"/>
  <c r="T218" i="3"/>
  <c r="X211" i="3"/>
  <c r="S222" i="3"/>
  <c r="W227" i="3"/>
  <c r="S215" i="3"/>
  <c r="W219" i="3"/>
  <c r="T213" i="3"/>
  <c r="T216" i="3"/>
  <c r="S218" i="3"/>
  <c r="W223" i="3"/>
  <c r="S225" i="3"/>
  <c r="W226" i="3"/>
  <c r="X227" i="3"/>
  <c r="S229" i="3"/>
  <c r="S230" i="3"/>
  <c r="X216" i="3"/>
  <c r="W220" i="3"/>
  <c r="X214" i="3"/>
  <c r="W232" i="3"/>
  <c r="W213" i="3"/>
  <c r="W218" i="3"/>
  <c r="X226" i="3"/>
  <c r="X221" i="3"/>
  <c r="W217" i="3"/>
  <c r="W178" i="3"/>
  <c r="L90" i="3"/>
  <c r="L88" i="3"/>
  <c r="L76" i="3"/>
  <c r="L81" i="3"/>
  <c r="L99" i="3"/>
  <c r="L77" i="3"/>
  <c r="L96" i="3"/>
  <c r="L80" i="3"/>
  <c r="L89" i="3"/>
  <c r="L91" i="3"/>
  <c r="L83" i="3"/>
  <c r="L97" i="3"/>
  <c r="L85" i="3"/>
  <c r="L95" i="3"/>
  <c r="L93" i="3"/>
  <c r="L87" i="3"/>
  <c r="L78" i="3"/>
  <c r="L86" i="3"/>
  <c r="L82" i="3"/>
  <c r="L94" i="3"/>
  <c r="L92" i="3"/>
  <c r="L98" i="3"/>
  <c r="L84" i="3"/>
  <c r="L79" i="3"/>
  <c r="L75" i="3"/>
  <c r="B53" i="3"/>
  <c r="B55" i="3" s="1"/>
  <c r="W165" i="3"/>
  <c r="X163" i="3"/>
  <c r="W181" i="3"/>
  <c r="X171" i="3"/>
  <c r="W149" i="3"/>
  <c r="W202" i="3"/>
  <c r="X142" i="3"/>
  <c r="X164" i="3"/>
  <c r="W197" i="3"/>
  <c r="X172" i="3"/>
  <c r="W163" i="3"/>
  <c r="W143" i="3"/>
  <c r="X210" i="3"/>
  <c r="X169" i="3"/>
  <c r="X146" i="3"/>
  <c r="W170" i="3"/>
  <c r="W188" i="3"/>
  <c r="W180" i="3"/>
  <c r="W155" i="3"/>
  <c r="W205" i="3"/>
  <c r="X193" i="3"/>
  <c r="W196" i="3"/>
  <c r="X209" i="3"/>
  <c r="X201" i="3"/>
  <c r="W186" i="3"/>
  <c r="W204" i="3"/>
  <c r="W141" i="3"/>
  <c r="X139" i="3"/>
  <c r="W187" i="3"/>
  <c r="X180" i="3"/>
  <c r="X194" i="3"/>
  <c r="X138" i="3"/>
  <c r="X187" i="3"/>
  <c r="X166" i="3"/>
  <c r="W147" i="3"/>
  <c r="W162" i="3"/>
  <c r="W139" i="3"/>
  <c r="X147" i="3"/>
  <c r="X170" i="3"/>
  <c r="W173" i="3"/>
  <c r="X178" i="3"/>
  <c r="X203" i="3"/>
  <c r="X185" i="3"/>
  <c r="X144" i="3"/>
  <c r="W145" i="3"/>
  <c r="S156" i="3"/>
  <c r="T157" i="3"/>
  <c r="T158" i="3"/>
  <c r="T159" i="3"/>
  <c r="T160" i="3"/>
  <c r="S161" i="3"/>
  <c r="S162" i="3"/>
  <c r="T163" i="3"/>
  <c r="X174" i="3"/>
  <c r="W175" i="3"/>
  <c r="X182" i="3"/>
  <c r="W183" i="3"/>
  <c r="X190" i="3"/>
  <c r="W191" i="3"/>
  <c r="X198" i="3"/>
  <c r="W199" i="3"/>
  <c r="X206" i="3"/>
  <c r="W207" i="3"/>
  <c r="S135" i="3"/>
  <c r="W200" i="3"/>
  <c r="W136" i="3"/>
  <c r="S149" i="3"/>
  <c r="S150" i="3"/>
  <c r="S151" i="3"/>
  <c r="S152" i="3"/>
  <c r="S155" i="3"/>
  <c r="T156" i="3"/>
  <c r="T161" i="3"/>
  <c r="T162" i="3"/>
  <c r="X165" i="3"/>
  <c r="W166" i="3"/>
  <c r="X167" i="3"/>
  <c r="W168" i="3"/>
  <c r="X175" i="3"/>
  <c r="W176" i="3"/>
  <c r="X183" i="3"/>
  <c r="W184" i="3"/>
  <c r="X191" i="3"/>
  <c r="W192" i="3"/>
  <c r="X199" i="3"/>
  <c r="X136" i="3"/>
  <c r="W137" i="3"/>
  <c r="S148" i="3"/>
  <c r="T149" i="3"/>
  <c r="T150" i="3"/>
  <c r="T151" i="3"/>
  <c r="T152" i="3"/>
  <c r="S153" i="3"/>
  <c r="S154" i="3"/>
  <c r="T155" i="3"/>
  <c r="X168" i="3"/>
  <c r="W169" i="3"/>
  <c r="X176" i="3"/>
  <c r="W177" i="3"/>
  <c r="X184" i="3"/>
  <c r="W185" i="3"/>
  <c r="X192" i="3"/>
  <c r="W193" i="3"/>
  <c r="X200" i="3"/>
  <c r="W201" i="3"/>
  <c r="X208" i="3"/>
  <c r="W209" i="3"/>
  <c r="X135" i="3"/>
  <c r="S140" i="3"/>
  <c r="T142" i="3"/>
  <c r="T143" i="3"/>
  <c r="S145" i="3"/>
  <c r="T147" i="3"/>
  <c r="X160" i="3"/>
  <c r="T173" i="3"/>
  <c r="T174" i="3"/>
  <c r="S180" i="3"/>
  <c r="T181" i="3"/>
  <c r="S183" i="3"/>
  <c r="T189" i="3"/>
  <c r="S141" i="3"/>
  <c r="S142" i="3"/>
  <c r="S143" i="3"/>
  <c r="S144" i="3"/>
  <c r="S147" i="3"/>
  <c r="T148" i="3"/>
  <c r="T153" i="3"/>
  <c r="T154" i="3"/>
  <c r="X157" i="3"/>
  <c r="W158" i="3"/>
  <c r="X159" i="3"/>
  <c r="W160" i="3"/>
  <c r="S173" i="3"/>
  <c r="S174" i="3"/>
  <c r="S181" i="3"/>
  <c r="S182" i="3"/>
  <c r="S189" i="3"/>
  <c r="S190" i="3"/>
  <c r="S197" i="3"/>
  <c r="S198" i="3"/>
  <c r="S205" i="3"/>
  <c r="S206" i="3"/>
  <c r="W135" i="3"/>
  <c r="T141" i="3"/>
  <c r="T144" i="3"/>
  <c r="S146" i="3"/>
  <c r="W161" i="3"/>
  <c r="S172" i="3"/>
  <c r="S175" i="3"/>
  <c r="T182" i="3"/>
  <c r="S188" i="3"/>
  <c r="T190" i="3"/>
  <c r="T136" i="3"/>
  <c r="S137" i="3"/>
  <c r="S138" i="3"/>
  <c r="T139" i="3"/>
  <c r="X152" i="3"/>
  <c r="W153" i="3"/>
  <c r="S164" i="3"/>
  <c r="T165" i="3"/>
  <c r="T166" i="3"/>
  <c r="T167" i="3"/>
  <c r="T168" i="3"/>
  <c r="S169" i="3"/>
  <c r="S170" i="3"/>
  <c r="T171" i="3"/>
  <c r="T176" i="3"/>
  <c r="S177" i="3"/>
  <c r="S178" i="3"/>
  <c r="T179" i="3"/>
  <c r="T184" i="3"/>
  <c r="S185" i="3"/>
  <c r="S186" i="3"/>
  <c r="T187" i="3"/>
  <c r="T192" i="3"/>
  <c r="S193" i="3"/>
  <c r="S194" i="3"/>
  <c r="T195" i="3"/>
  <c r="T200" i="3"/>
  <c r="S201" i="3"/>
  <c r="S202" i="3"/>
  <c r="T203" i="3"/>
  <c r="T137" i="3"/>
  <c r="T138" i="3"/>
  <c r="X141" i="3"/>
  <c r="W142" i="3"/>
  <c r="X143" i="3"/>
  <c r="W144" i="3"/>
  <c r="W150" i="3"/>
  <c r="S171" i="3"/>
  <c r="S179" i="3"/>
  <c r="S187" i="3"/>
  <c r="S192" i="3"/>
  <c r="T196" i="3"/>
  <c r="S200" i="3"/>
  <c r="T204" i="3"/>
  <c r="T207" i="3"/>
  <c r="T202" i="3"/>
  <c r="W208" i="3"/>
  <c r="T135" i="3"/>
  <c r="T191" i="3"/>
  <c r="S207" i="3"/>
  <c r="S136" i="3"/>
  <c r="T140" i="3"/>
  <c r="S157" i="3"/>
  <c r="S163" i="3"/>
  <c r="S166" i="3"/>
  <c r="T194" i="3"/>
  <c r="W198" i="3"/>
  <c r="T199" i="3"/>
  <c r="T205" i="3"/>
  <c r="T210" i="3"/>
  <c r="T193" i="3"/>
  <c r="X197" i="3"/>
  <c r="S160" i="3"/>
  <c r="W174" i="3"/>
  <c r="W182" i="3"/>
  <c r="W190" i="3"/>
  <c r="T206" i="3"/>
  <c r="T175" i="3"/>
  <c r="S191" i="3"/>
  <c r="S195" i="3"/>
  <c r="S203" i="3"/>
  <c r="X149" i="3"/>
  <c r="S204" i="3"/>
  <c r="T208" i="3"/>
  <c r="T145" i="3"/>
  <c r="X151" i="3"/>
  <c r="T169" i="3"/>
  <c r="T172" i="3"/>
  <c r="T177" i="3"/>
  <c r="T180" i="3"/>
  <c r="T185" i="3"/>
  <c r="T188" i="3"/>
  <c r="T197" i="3"/>
  <c r="S199" i="3"/>
  <c r="X207" i="3"/>
  <c r="S210" i="3"/>
  <c r="S158" i="3"/>
  <c r="T164" i="3"/>
  <c r="S167" i="3"/>
  <c r="T183" i="3"/>
  <c r="T146" i="3"/>
  <c r="T201" i="3"/>
  <c r="W206" i="3"/>
  <c r="S209" i="3"/>
  <c r="W152" i="3"/>
  <c r="S165" i="3"/>
  <c r="T170" i="3"/>
  <c r="T178" i="3"/>
  <c r="T186" i="3"/>
  <c r="S208" i="3"/>
  <c r="T209" i="3"/>
  <c r="S139" i="3"/>
  <c r="S159" i="3"/>
  <c r="S168" i="3"/>
  <c r="X173" i="3"/>
  <c r="S176" i="3"/>
  <c r="X181" i="3"/>
  <c r="S184" i="3"/>
  <c r="X189" i="3"/>
  <c r="S196" i="3"/>
  <c r="T198" i="3"/>
  <c r="X205" i="3"/>
  <c r="W148" i="3"/>
  <c r="X154" i="3"/>
  <c r="W159" i="3"/>
  <c r="X179" i="3"/>
  <c r="W171" i="3"/>
  <c r="W146" i="3"/>
  <c r="X155" i="3"/>
  <c r="X204" i="3"/>
  <c r="X156" i="3"/>
  <c r="W156" i="3"/>
  <c r="W195" i="3"/>
  <c r="W157" i="3"/>
  <c r="W154" i="3"/>
  <c r="W194" i="3"/>
  <c r="W151" i="3"/>
  <c r="W164" i="3"/>
  <c r="X195" i="3"/>
  <c r="W203" i="3"/>
  <c r="X153" i="3"/>
  <c r="X188" i="3"/>
  <c r="W179" i="3"/>
  <c r="X162" i="3"/>
  <c r="W140" i="3"/>
  <c r="W189" i="3"/>
  <c r="X177" i="3"/>
  <c r="X161" i="3"/>
  <c r="W210" i="3"/>
  <c r="X158" i="3"/>
  <c r="X202" i="3"/>
  <c r="W167" i="3"/>
  <c r="X196" i="3"/>
  <c r="X137" i="3"/>
  <c r="X148" i="3"/>
  <c r="W138" i="3"/>
  <c r="W172" i="3"/>
  <c r="X186" i="3"/>
  <c r="X150" i="3"/>
  <c r="X140" i="3"/>
  <c r="X145" i="3"/>
  <c r="B26" i="3"/>
  <c r="B103" i="3"/>
  <c r="B114" i="3"/>
  <c r="B16" i="3"/>
  <c r="B24" i="3"/>
  <c r="B54" i="3"/>
  <c r="B56" i="3" s="1"/>
  <c r="AC208" i="3" l="1"/>
  <c r="AE208" i="3" s="1"/>
  <c r="AB165" i="3"/>
  <c r="AD165" i="3" s="1"/>
  <c r="AC218" i="3"/>
  <c r="AE218" i="3" s="1"/>
  <c r="AI218" i="3" s="1"/>
  <c r="B243" i="3"/>
  <c r="B248" i="3" s="1"/>
  <c r="AB204" i="3"/>
  <c r="AD204" i="3" s="1"/>
  <c r="AC166" i="3"/>
  <c r="AE166" i="3" s="1"/>
  <c r="B104" i="3"/>
  <c r="B108" i="3" s="1"/>
  <c r="B107" i="3"/>
  <c r="B117" i="3"/>
  <c r="B120" i="3" s="1"/>
  <c r="AC142" i="3"/>
  <c r="AE142" i="3" s="1"/>
  <c r="AB202" i="3"/>
  <c r="AD202" i="3" s="1"/>
  <c r="AB143" i="3"/>
  <c r="AD143" i="3" s="1"/>
  <c r="AC210" i="3"/>
  <c r="AE210" i="3" s="1"/>
  <c r="AC224" i="3"/>
  <c r="AE224" i="3" s="1"/>
  <c r="AI224" i="3" s="1"/>
  <c r="AB178" i="3"/>
  <c r="AD178" i="3" s="1"/>
  <c r="AC222" i="3"/>
  <c r="AE222" i="3" s="1"/>
  <c r="AI222" i="3" s="1"/>
  <c r="AC232" i="3"/>
  <c r="AE232" i="3" s="1"/>
  <c r="AI232" i="3" s="1"/>
  <c r="AB225" i="3"/>
  <c r="AD225" i="3" s="1"/>
  <c r="AH225" i="3" s="1"/>
  <c r="AC233" i="3"/>
  <c r="AE233" i="3" s="1"/>
  <c r="AI233" i="3" s="1"/>
  <c r="AB214" i="3"/>
  <c r="AD214" i="3" s="1"/>
  <c r="AH214" i="3" s="1"/>
  <c r="AC213" i="3"/>
  <c r="AE213" i="3" s="1"/>
  <c r="AI213" i="3" s="1"/>
  <c r="AC230" i="3"/>
  <c r="AE230" i="3" s="1"/>
  <c r="AI230" i="3" s="1"/>
  <c r="B62" i="3"/>
  <c r="AB229" i="3"/>
  <c r="AD229" i="3" s="1"/>
  <c r="AH229" i="3" s="1"/>
  <c r="AB231" i="3"/>
  <c r="AD231" i="3" s="1"/>
  <c r="AH231" i="3" s="1"/>
  <c r="AB224" i="3"/>
  <c r="AD224" i="3" s="1"/>
  <c r="AH224" i="3" s="1"/>
  <c r="AC225" i="3"/>
  <c r="AE225" i="3" s="1"/>
  <c r="AI225" i="3" s="1"/>
  <c r="AB228" i="3"/>
  <c r="AD228" i="3" s="1"/>
  <c r="AH228" i="3" s="1"/>
  <c r="AB212" i="3"/>
  <c r="AD212" i="3" s="1"/>
  <c r="AH212" i="3" s="1"/>
  <c r="AB221" i="3"/>
  <c r="AD221" i="3" s="1"/>
  <c r="AH221" i="3" s="1"/>
  <c r="AB222" i="3"/>
  <c r="AD222" i="3" s="1"/>
  <c r="AH222" i="3" s="1"/>
  <c r="AC227" i="3"/>
  <c r="AE227" i="3" s="1"/>
  <c r="AI227" i="3" s="1"/>
  <c r="AB235" i="3"/>
  <c r="AD235" i="3" s="1"/>
  <c r="AH235" i="3" s="1"/>
  <c r="AB216" i="3"/>
  <c r="AD216" i="3" s="1"/>
  <c r="AH216" i="3" s="1"/>
  <c r="AC228" i="3"/>
  <c r="AE228" i="3" s="1"/>
  <c r="AI228" i="3" s="1"/>
  <c r="AC212" i="3"/>
  <c r="AE212" i="3" s="1"/>
  <c r="AI212" i="3" s="1"/>
  <c r="AC234" i="3"/>
  <c r="AE234" i="3" s="1"/>
  <c r="AI234" i="3" s="1"/>
  <c r="AC220" i="3"/>
  <c r="AE220" i="3" s="1"/>
  <c r="AI220" i="3" s="1"/>
  <c r="AC215" i="3"/>
  <c r="AE215" i="3" s="1"/>
  <c r="AI215" i="3" s="1"/>
  <c r="AB218" i="3"/>
  <c r="AD218" i="3" s="1"/>
  <c r="AH218" i="3" s="1"/>
  <c r="AB226" i="3"/>
  <c r="AD226" i="3" s="1"/>
  <c r="AH226" i="3" s="1"/>
  <c r="AB213" i="3"/>
  <c r="AD213" i="3" s="1"/>
  <c r="AH213" i="3" s="1"/>
  <c r="B17" i="3"/>
  <c r="AC216" i="3"/>
  <c r="AE216" i="3" s="1"/>
  <c r="AI216" i="3" s="1"/>
  <c r="AB211" i="3"/>
  <c r="AD211" i="3" s="1"/>
  <c r="AH211" i="3" s="1"/>
  <c r="AC226" i="3"/>
  <c r="AE226" i="3" s="1"/>
  <c r="AI226" i="3" s="1"/>
  <c r="AC231" i="3"/>
  <c r="AE231" i="3" s="1"/>
  <c r="AI231" i="3" s="1"/>
  <c r="AB223" i="3"/>
  <c r="AD223" i="3" s="1"/>
  <c r="AH223" i="3" s="1"/>
  <c r="AB227" i="3"/>
  <c r="AD227" i="3" s="1"/>
  <c r="AH227" i="3" s="1"/>
  <c r="AC211" i="3"/>
  <c r="AE211" i="3" s="1"/>
  <c r="AI211" i="3" s="1"/>
  <c r="AB230" i="3"/>
  <c r="AD230" i="3" s="1"/>
  <c r="AH230" i="3" s="1"/>
  <c r="AB220" i="3"/>
  <c r="AD220" i="3" s="1"/>
  <c r="AH220" i="3" s="1"/>
  <c r="AC235" i="3"/>
  <c r="AE235" i="3" s="1"/>
  <c r="AI235" i="3" s="1"/>
  <c r="AB217" i="3"/>
  <c r="AD217" i="3" s="1"/>
  <c r="AH217" i="3" s="1"/>
  <c r="AB234" i="3"/>
  <c r="AD234" i="3" s="1"/>
  <c r="AH234" i="3" s="1"/>
  <c r="AC221" i="3"/>
  <c r="AE221" i="3" s="1"/>
  <c r="AI221" i="3" s="1"/>
  <c r="AB215" i="3"/>
  <c r="AD215" i="3" s="1"/>
  <c r="AH215" i="3" s="1"/>
  <c r="AB219" i="3"/>
  <c r="AD219" i="3" s="1"/>
  <c r="AH219" i="3" s="1"/>
  <c r="AC214" i="3"/>
  <c r="AE214" i="3" s="1"/>
  <c r="AI214" i="3" s="1"/>
  <c r="AB233" i="3"/>
  <c r="AD233" i="3" s="1"/>
  <c r="AH233" i="3" s="1"/>
  <c r="AC219" i="3"/>
  <c r="AE219" i="3" s="1"/>
  <c r="AI219" i="3" s="1"/>
  <c r="AC217" i="3"/>
  <c r="AE217" i="3" s="1"/>
  <c r="AI217" i="3" s="1"/>
  <c r="AB232" i="3"/>
  <c r="AD232" i="3" s="1"/>
  <c r="AH232" i="3" s="1"/>
  <c r="AC229" i="3"/>
  <c r="AE229" i="3" s="1"/>
  <c r="AI229" i="3" s="1"/>
  <c r="B27" i="3"/>
  <c r="F6" i="3" s="1"/>
  <c r="P95" i="3"/>
  <c r="Q95" i="3" s="1"/>
  <c r="R95" i="3" s="1"/>
  <c r="P76" i="3"/>
  <c r="Q76" i="3" s="1"/>
  <c r="R76" i="3" s="1"/>
  <c r="P99" i="3"/>
  <c r="Q99" i="3" s="1"/>
  <c r="R99" i="3" s="1"/>
  <c r="B82" i="1" s="1"/>
  <c r="P97" i="3"/>
  <c r="Q97" i="3" s="1"/>
  <c r="R97" i="3" s="1"/>
  <c r="P86" i="3"/>
  <c r="Q86" i="3" s="1"/>
  <c r="R86" i="3" s="1"/>
  <c r="P96" i="3"/>
  <c r="Q96" i="3" s="1"/>
  <c r="R96" i="3" s="1"/>
  <c r="P79" i="3"/>
  <c r="Q79" i="3" s="1"/>
  <c r="R79" i="3" s="1"/>
  <c r="P93" i="3"/>
  <c r="Q93" i="3" s="1"/>
  <c r="R93" i="3" s="1"/>
  <c r="P87" i="3"/>
  <c r="Q87" i="3" s="1"/>
  <c r="R87" i="3" s="1"/>
  <c r="P90" i="3"/>
  <c r="Q90" i="3" s="1"/>
  <c r="R90" i="3" s="1"/>
  <c r="P83" i="3"/>
  <c r="Q83" i="3" s="1"/>
  <c r="R83" i="3" s="1"/>
  <c r="P77" i="3"/>
  <c r="Q77" i="3" s="1"/>
  <c r="R77" i="3" s="1"/>
  <c r="P82" i="3"/>
  <c r="Q82" i="3" s="1"/>
  <c r="R82" i="3" s="1"/>
  <c r="P89" i="3"/>
  <c r="Q89" i="3" s="1"/>
  <c r="R89" i="3" s="1"/>
  <c r="P85" i="3"/>
  <c r="Q85" i="3" s="1"/>
  <c r="R85" i="3" s="1"/>
  <c r="P94" i="3"/>
  <c r="Q94" i="3" s="1"/>
  <c r="R94" i="3" s="1"/>
  <c r="P78" i="3"/>
  <c r="Q78" i="3" s="1"/>
  <c r="R78" i="3" s="1"/>
  <c r="P91" i="3"/>
  <c r="Q91" i="3" s="1"/>
  <c r="R91" i="3" s="1"/>
  <c r="P88" i="3"/>
  <c r="Q88" i="3" s="1"/>
  <c r="R88" i="3" s="1"/>
  <c r="P92" i="3"/>
  <c r="Q92" i="3" s="1"/>
  <c r="R92" i="3" s="1"/>
  <c r="P84" i="3"/>
  <c r="Q84" i="3" s="1"/>
  <c r="R84" i="3" s="1"/>
  <c r="P75" i="3"/>
  <c r="Q75" i="3" s="1"/>
  <c r="R75" i="3" s="1"/>
  <c r="P98" i="3"/>
  <c r="Q98" i="3" s="1"/>
  <c r="R98" i="3" s="1"/>
  <c r="P80" i="3"/>
  <c r="Q80" i="3" s="1"/>
  <c r="R80" i="3" s="1"/>
  <c r="P81" i="3"/>
  <c r="Q81" i="3" s="1"/>
  <c r="R81" i="3" s="1"/>
  <c r="AC187" i="3"/>
  <c r="AE187" i="3" s="1"/>
  <c r="AC169" i="3"/>
  <c r="AE169" i="3" s="1"/>
  <c r="AB170" i="3"/>
  <c r="AD170" i="3" s="1"/>
  <c r="AB175" i="3"/>
  <c r="AD175" i="3" s="1"/>
  <c r="AB163" i="3"/>
  <c r="AD163" i="3" s="1"/>
  <c r="AC201" i="3"/>
  <c r="AE201" i="3" s="1"/>
  <c r="AC175" i="3"/>
  <c r="AE175" i="3" s="1"/>
  <c r="AB136" i="3"/>
  <c r="AD136" i="3" s="1"/>
  <c r="AC164" i="3"/>
  <c r="AE164" i="3" s="1"/>
  <c r="AC138" i="3"/>
  <c r="AE138" i="3" s="1"/>
  <c r="AB193" i="3"/>
  <c r="AD193" i="3" s="1"/>
  <c r="AB200" i="3"/>
  <c r="AD200" i="3" s="1"/>
  <c r="AC200" i="3"/>
  <c r="AE200" i="3" s="1"/>
  <c r="AB197" i="3"/>
  <c r="AD197" i="3" s="1"/>
  <c r="AB176" i="3"/>
  <c r="AD176" i="3" s="1"/>
  <c r="AC178" i="3"/>
  <c r="AE178" i="3" s="1"/>
  <c r="AC183" i="3"/>
  <c r="AE183" i="3" s="1"/>
  <c r="AB188" i="3"/>
  <c r="AD188" i="3" s="1"/>
  <c r="AB183" i="3"/>
  <c r="AD183" i="3" s="1"/>
  <c r="AC172" i="3"/>
  <c r="AE172" i="3" s="1"/>
  <c r="AC203" i="3"/>
  <c r="AE203" i="3" s="1"/>
  <c r="AC193" i="3"/>
  <c r="AE193" i="3" s="1"/>
  <c r="AB186" i="3"/>
  <c r="AD186" i="3" s="1"/>
  <c r="AB180" i="3"/>
  <c r="AD180" i="3" s="1"/>
  <c r="AC163" i="3"/>
  <c r="AE163" i="3" s="1"/>
  <c r="AB196" i="3"/>
  <c r="AD196" i="3" s="1"/>
  <c r="AB139" i="3"/>
  <c r="AD139" i="3" s="1"/>
  <c r="AB173" i="3"/>
  <c r="AD173" i="3" s="1"/>
  <c r="AC168" i="3"/>
  <c r="AE168" i="3" s="1"/>
  <c r="AC171" i="3"/>
  <c r="AE171" i="3" s="1"/>
  <c r="AB147" i="3"/>
  <c r="AD147" i="3" s="1"/>
  <c r="AB209" i="3"/>
  <c r="AD209" i="3" s="1"/>
  <c r="AB184" i="3"/>
  <c r="AD184" i="3" s="1"/>
  <c r="AB208" i="3"/>
  <c r="AD208" i="3" s="1"/>
  <c r="AB201" i="3"/>
  <c r="AD201" i="3" s="1"/>
  <c r="AB169" i="3"/>
  <c r="AD169" i="3" s="1"/>
  <c r="AC185" i="3"/>
  <c r="AE185" i="3" s="1"/>
  <c r="AB141" i="3"/>
  <c r="AD141" i="3" s="1"/>
  <c r="AC190" i="3"/>
  <c r="AE190" i="3" s="1"/>
  <c r="AB181" i="3"/>
  <c r="AD181" i="3" s="1"/>
  <c r="AB155" i="3"/>
  <c r="AD155" i="3" s="1"/>
  <c r="AC184" i="3"/>
  <c r="AE184" i="3" s="1"/>
  <c r="AC135" i="3"/>
  <c r="AE135" i="3" s="1"/>
  <c r="AB187" i="3"/>
  <c r="AD187" i="3" s="1"/>
  <c r="AC198" i="3"/>
  <c r="AE198" i="3" s="1"/>
  <c r="AB160" i="3"/>
  <c r="AD160" i="3" s="1"/>
  <c r="AB166" i="3"/>
  <c r="AD166" i="3" s="1"/>
  <c r="AB199" i="3"/>
  <c r="AD199" i="3" s="1"/>
  <c r="AB185" i="3"/>
  <c r="AD185" i="3" s="1"/>
  <c r="AC180" i="3"/>
  <c r="AE180" i="3" s="1"/>
  <c r="AB145" i="3"/>
  <c r="AD145" i="3" s="1"/>
  <c r="AB191" i="3"/>
  <c r="AD191" i="3" s="1"/>
  <c r="AB205" i="3"/>
  <c r="AD205" i="3" s="1"/>
  <c r="AC139" i="3"/>
  <c r="AE139" i="3" s="1"/>
  <c r="AB162" i="3"/>
  <c r="AD162" i="3" s="1"/>
  <c r="AC191" i="3"/>
  <c r="AE191" i="3" s="1"/>
  <c r="AB177" i="3"/>
  <c r="AD177" i="3" s="1"/>
  <c r="AC165" i="3"/>
  <c r="AE165" i="3" s="1"/>
  <c r="AB158" i="3"/>
  <c r="AD158" i="3" s="1"/>
  <c r="AC176" i="3"/>
  <c r="AE176" i="3" s="1"/>
  <c r="AB210" i="3"/>
  <c r="AD210" i="3" s="1"/>
  <c r="AB195" i="3"/>
  <c r="AD195" i="3" s="1"/>
  <c r="AC202" i="3"/>
  <c r="AE202" i="3" s="1"/>
  <c r="AB171" i="3"/>
  <c r="AD171" i="3" s="1"/>
  <c r="AC182" i="3"/>
  <c r="AE182" i="3" s="1"/>
  <c r="AC199" i="3"/>
  <c r="AE199" i="3" s="1"/>
  <c r="AB207" i="3"/>
  <c r="AD207" i="3" s="1"/>
  <c r="AC167" i="3"/>
  <c r="AE167" i="3" s="1"/>
  <c r="AB192" i="3"/>
  <c r="AD192" i="3" s="1"/>
  <c r="AC144" i="3"/>
  <c r="AE144" i="3" s="1"/>
  <c r="AC147" i="3"/>
  <c r="AE147" i="3" s="1"/>
  <c r="AC209" i="3"/>
  <c r="AE209" i="3" s="1"/>
  <c r="AC174" i="3"/>
  <c r="AE174" i="3" s="1"/>
  <c r="AC146" i="3"/>
  <c r="AE146" i="3" s="1"/>
  <c r="AC206" i="3"/>
  <c r="AE206" i="3" s="1"/>
  <c r="AB149" i="3"/>
  <c r="AD149" i="3" s="1"/>
  <c r="AB137" i="3"/>
  <c r="AD137" i="3" s="1"/>
  <c r="AC170" i="3"/>
  <c r="AE170" i="3" s="1"/>
  <c r="AC136" i="3"/>
  <c r="AE136" i="3" s="1"/>
  <c r="AB168" i="3"/>
  <c r="AD168" i="3" s="1"/>
  <c r="AC194" i="3"/>
  <c r="AE194" i="3" s="1"/>
  <c r="AC192" i="3"/>
  <c r="AE192" i="3" s="1"/>
  <c r="AB159" i="3"/>
  <c r="AD159" i="3" s="1"/>
  <c r="AC177" i="3"/>
  <c r="AE177" i="3" s="1"/>
  <c r="AB203" i="3"/>
  <c r="AD203" i="3" s="1"/>
  <c r="AB179" i="3"/>
  <c r="AD179" i="3" s="1"/>
  <c r="AC137" i="3"/>
  <c r="AE137" i="3" s="1"/>
  <c r="AB164" i="3"/>
  <c r="AD164" i="3" s="1"/>
  <c r="AC153" i="3"/>
  <c r="AE153" i="3" s="1"/>
  <c r="AC143" i="3"/>
  <c r="AE143" i="3" s="1"/>
  <c r="AC155" i="3"/>
  <c r="AE155" i="3" s="1"/>
  <c r="AC157" i="3"/>
  <c r="AE157" i="3" s="1"/>
  <c r="AB206" i="3"/>
  <c r="AD206" i="3" s="1"/>
  <c r="AB174" i="3"/>
  <c r="AD174" i="3" s="1"/>
  <c r="AC148" i="3"/>
  <c r="AE148" i="3" s="1"/>
  <c r="AC181" i="3"/>
  <c r="AE181" i="3" s="1"/>
  <c r="AB154" i="3"/>
  <c r="AD154" i="3" s="1"/>
  <c r="AB152" i="3"/>
  <c r="AD152" i="3" s="1"/>
  <c r="AB156" i="3"/>
  <c r="AD156" i="3" s="1"/>
  <c r="AB157" i="3"/>
  <c r="AD157" i="3" s="1"/>
  <c r="AC207" i="3"/>
  <c r="AE207" i="3" s="1"/>
  <c r="AB140" i="3"/>
  <c r="AD140" i="3" s="1"/>
  <c r="AB153" i="3"/>
  <c r="AD153" i="3" s="1"/>
  <c r="AB151" i="3"/>
  <c r="AD151" i="3" s="1"/>
  <c r="AC140" i="3"/>
  <c r="AE140" i="3" s="1"/>
  <c r="AC204" i="3"/>
  <c r="AE204" i="3" s="1"/>
  <c r="AB172" i="3"/>
  <c r="AD172" i="3" s="1"/>
  <c r="AB198" i="3"/>
  <c r="AD198" i="3" s="1"/>
  <c r="AB144" i="3"/>
  <c r="AD144" i="3" s="1"/>
  <c r="AC152" i="3"/>
  <c r="AE152" i="3" s="1"/>
  <c r="AB150" i="3"/>
  <c r="AD150" i="3" s="1"/>
  <c r="AC186" i="3"/>
  <c r="AE186" i="3" s="1"/>
  <c r="AC197" i="3"/>
  <c r="AE197" i="3" s="1"/>
  <c r="AC145" i="3"/>
  <c r="AE145" i="3" s="1"/>
  <c r="AC205" i="3"/>
  <c r="AE205" i="3" s="1"/>
  <c r="AB138" i="3"/>
  <c r="AD138" i="3" s="1"/>
  <c r="AC173" i="3"/>
  <c r="AE173" i="3" s="1"/>
  <c r="AC151" i="3"/>
  <c r="AE151" i="3" s="1"/>
  <c r="AB161" i="3"/>
  <c r="AD161" i="3" s="1"/>
  <c r="AC188" i="3"/>
  <c r="AE188" i="3" s="1"/>
  <c r="AC196" i="3"/>
  <c r="AE196" i="3" s="1"/>
  <c r="AC195" i="3"/>
  <c r="AE195" i="3" s="1"/>
  <c r="AC179" i="3"/>
  <c r="AE179" i="3" s="1"/>
  <c r="AB146" i="3"/>
  <c r="AD146" i="3" s="1"/>
  <c r="AB190" i="3"/>
  <c r="AD190" i="3" s="1"/>
  <c r="AB142" i="3"/>
  <c r="AD142" i="3" s="1"/>
  <c r="AC150" i="3"/>
  <c r="AE150" i="3" s="1"/>
  <c r="AC162" i="3"/>
  <c r="AE162" i="3" s="1"/>
  <c r="AC160" i="3"/>
  <c r="AE160" i="3" s="1"/>
  <c r="AB167" i="3"/>
  <c r="AD167" i="3" s="1"/>
  <c r="AB194" i="3"/>
  <c r="AD194" i="3" s="1"/>
  <c r="AB189" i="3"/>
  <c r="AD189" i="3" s="1"/>
  <c r="AC149" i="3"/>
  <c r="AE149" i="3" s="1"/>
  <c r="AC161" i="3"/>
  <c r="AE161" i="3" s="1"/>
  <c r="AC159" i="3"/>
  <c r="AE159" i="3" s="1"/>
  <c r="AC141" i="3"/>
  <c r="AE141" i="3" s="1"/>
  <c r="AB182" i="3"/>
  <c r="AD182" i="3" s="1"/>
  <c r="AC154" i="3"/>
  <c r="AE154" i="3" s="1"/>
  <c r="AC189" i="3"/>
  <c r="AE189" i="3" s="1"/>
  <c r="AB148" i="3"/>
  <c r="AD148" i="3" s="1"/>
  <c r="AC156" i="3"/>
  <c r="AE156" i="3" s="1"/>
  <c r="AB135" i="3"/>
  <c r="AD135" i="3" s="1"/>
  <c r="AC158" i="3"/>
  <c r="AE158" i="3" s="1"/>
  <c r="B156" i="3"/>
  <c r="F77" i="1" s="1"/>
  <c r="B154" i="3"/>
  <c r="B165" i="3"/>
  <c r="B188" i="3"/>
  <c r="B95" i="1"/>
  <c r="B105" i="3" l="1"/>
  <c r="B160" i="1"/>
  <c r="F160" i="1" s="1"/>
  <c r="B254" i="3" s="1"/>
  <c r="B244" i="3"/>
  <c r="B18" i="3"/>
  <c r="B121" i="3"/>
  <c r="B122" i="3"/>
  <c r="B179" i="3"/>
  <c r="B192" i="3"/>
  <c r="B30" i="3"/>
  <c r="B189" i="3"/>
  <c r="B190" i="3" s="1"/>
  <c r="B191" i="3" s="1"/>
  <c r="B150" i="3"/>
  <c r="B151" i="3" s="1"/>
  <c r="B171" i="3"/>
  <c r="B137" i="3"/>
  <c r="B28" i="3"/>
  <c r="B29" i="3" s="1"/>
  <c r="B93" i="3"/>
  <c r="B132" i="3"/>
  <c r="B245" i="3" l="1"/>
  <c r="B247" i="3"/>
  <c r="B159" i="1" s="1"/>
  <c r="B31" i="3"/>
  <c r="X47" i="3"/>
  <c r="X60" i="3"/>
  <c r="B204" i="3"/>
  <c r="F91" i="1" s="1"/>
  <c r="X68" i="3"/>
  <c r="X58" i="3"/>
  <c r="X36" i="3"/>
  <c r="X48" i="3"/>
  <c r="X62" i="3"/>
  <c r="X55" i="3"/>
  <c r="X70" i="3"/>
  <c r="X38" i="3"/>
  <c r="X50" i="3"/>
  <c r="X63" i="3"/>
  <c r="X39" i="3"/>
  <c r="X64" i="3"/>
  <c r="X44" i="3"/>
  <c r="X52" i="3"/>
  <c r="X42" i="3"/>
  <c r="X46" i="3"/>
  <c r="X40" i="3"/>
  <c r="X54" i="3"/>
  <c r="X66" i="3"/>
  <c r="X56" i="3"/>
  <c r="X71" i="3"/>
  <c r="X69" i="3"/>
  <c r="X61" i="3"/>
  <c r="X37" i="3"/>
  <c r="X57" i="3"/>
  <c r="X49" i="3"/>
  <c r="X41" i="3"/>
  <c r="X35" i="3"/>
  <c r="X45" i="3"/>
  <c r="X65" i="3"/>
  <c r="X53" i="3"/>
  <c r="X59" i="3"/>
  <c r="X43" i="3"/>
  <c r="X67" i="3"/>
  <c r="X51" i="3"/>
  <c r="B194" i="3"/>
  <c r="B91" i="1" s="1"/>
  <c r="Q36" i="3"/>
  <c r="Q45" i="3"/>
  <c r="Q62" i="3"/>
  <c r="Q40" i="3"/>
  <c r="Q48" i="3"/>
  <c r="Q56" i="3"/>
  <c r="Q43" i="3"/>
  <c r="Q44" i="3"/>
  <c r="Q53" i="3"/>
  <c r="Q70" i="3"/>
  <c r="Q50" i="3"/>
  <c r="Q47" i="3"/>
  <c r="Q55" i="3"/>
  <c r="Q51" i="3"/>
  <c r="Q52" i="3"/>
  <c r="Q61" i="3"/>
  <c r="Q64" i="3"/>
  <c r="Q41" i="3"/>
  <c r="Q57" i="3"/>
  <c r="Q35" i="3"/>
  <c r="Q59" i="3"/>
  <c r="Q60" i="3"/>
  <c r="Q69" i="3"/>
  <c r="Q39" i="3"/>
  <c r="Q49" i="3"/>
  <c r="Q68" i="3"/>
  <c r="Q65" i="3"/>
  <c r="Q58" i="3"/>
  <c r="Q46" i="3"/>
  <c r="Q63" i="3"/>
  <c r="Q66" i="3"/>
  <c r="Q38" i="3"/>
  <c r="Q42" i="3"/>
  <c r="Q37" i="3"/>
  <c r="Q54" i="3"/>
  <c r="Q71" i="3"/>
  <c r="Q67" i="3"/>
  <c r="S35" i="3"/>
  <c r="T35" i="3" s="1"/>
  <c r="U35" i="3" s="1"/>
  <c r="V35" i="3" s="1"/>
  <c r="B77" i="1"/>
  <c r="B152" i="3"/>
  <c r="B157" i="3" s="1"/>
  <c r="B160" i="3" s="1"/>
  <c r="B8" i="2" s="1"/>
  <c r="F8" i="2" s="1"/>
  <c r="S43" i="3"/>
  <c r="T43" i="3" s="1"/>
  <c r="U43" i="3" s="1"/>
  <c r="V43" i="3" s="1"/>
  <c r="S51" i="3"/>
  <c r="T51" i="3" s="1"/>
  <c r="U51" i="3" s="1"/>
  <c r="V51" i="3" s="1"/>
  <c r="S59" i="3"/>
  <c r="T59" i="3" s="1"/>
  <c r="U59" i="3" s="1"/>
  <c r="V59" i="3" s="1"/>
  <c r="S67" i="3"/>
  <c r="T67" i="3" s="1"/>
  <c r="U67" i="3" s="1"/>
  <c r="V67" i="3" s="1"/>
  <c r="S42" i="3"/>
  <c r="T42" i="3" s="1"/>
  <c r="U42" i="3" s="1"/>
  <c r="V42" i="3" s="1"/>
  <c r="S36" i="3"/>
  <c r="T36" i="3" s="1"/>
  <c r="U36" i="3" s="1"/>
  <c r="V36" i="3" s="1"/>
  <c r="S44" i="3"/>
  <c r="T44" i="3" s="1"/>
  <c r="U44" i="3" s="1"/>
  <c r="V44" i="3" s="1"/>
  <c r="S52" i="3"/>
  <c r="T52" i="3" s="1"/>
  <c r="U52" i="3" s="1"/>
  <c r="V52" i="3" s="1"/>
  <c r="S60" i="3"/>
  <c r="T60" i="3" s="1"/>
  <c r="U60" i="3" s="1"/>
  <c r="V60" i="3" s="1"/>
  <c r="S68" i="3"/>
  <c r="T68" i="3" s="1"/>
  <c r="U68" i="3" s="1"/>
  <c r="V68" i="3" s="1"/>
  <c r="S37" i="3"/>
  <c r="T37" i="3" s="1"/>
  <c r="U37" i="3" s="1"/>
  <c r="V37" i="3" s="1"/>
  <c r="S45" i="3"/>
  <c r="T45" i="3" s="1"/>
  <c r="U45" i="3" s="1"/>
  <c r="V45" i="3" s="1"/>
  <c r="S53" i="3"/>
  <c r="T53" i="3" s="1"/>
  <c r="U53" i="3" s="1"/>
  <c r="V53" i="3" s="1"/>
  <c r="S61" i="3"/>
  <c r="T61" i="3" s="1"/>
  <c r="U61" i="3" s="1"/>
  <c r="V61" i="3" s="1"/>
  <c r="S69" i="3"/>
  <c r="T69" i="3" s="1"/>
  <c r="U69" i="3" s="1"/>
  <c r="V69" i="3" s="1"/>
  <c r="S47" i="3"/>
  <c r="T47" i="3" s="1"/>
  <c r="U47" i="3" s="1"/>
  <c r="V47" i="3" s="1"/>
  <c r="S63" i="3"/>
  <c r="T63" i="3" s="1"/>
  <c r="U63" i="3" s="1"/>
  <c r="V63" i="3" s="1"/>
  <c r="S58" i="3"/>
  <c r="T58" i="3" s="1"/>
  <c r="U58" i="3" s="1"/>
  <c r="V58" i="3" s="1"/>
  <c r="S38" i="3"/>
  <c r="T38" i="3" s="1"/>
  <c r="U38" i="3" s="1"/>
  <c r="V38" i="3" s="1"/>
  <c r="S46" i="3"/>
  <c r="T46" i="3" s="1"/>
  <c r="U46" i="3" s="1"/>
  <c r="V46" i="3" s="1"/>
  <c r="S54" i="3"/>
  <c r="T54" i="3" s="1"/>
  <c r="U54" i="3" s="1"/>
  <c r="V54" i="3" s="1"/>
  <c r="S62" i="3"/>
  <c r="T62" i="3" s="1"/>
  <c r="U62" i="3" s="1"/>
  <c r="V62" i="3" s="1"/>
  <c r="S70" i="3"/>
  <c r="T70" i="3" s="1"/>
  <c r="U70" i="3" s="1"/>
  <c r="V70" i="3" s="1"/>
  <c r="S71" i="3"/>
  <c r="T71" i="3" s="1"/>
  <c r="U71" i="3" s="1"/>
  <c r="V71" i="3" s="1"/>
  <c r="S50" i="3"/>
  <c r="T50" i="3" s="1"/>
  <c r="U50" i="3" s="1"/>
  <c r="V50" i="3" s="1"/>
  <c r="S39" i="3"/>
  <c r="T39" i="3" s="1"/>
  <c r="U39" i="3" s="1"/>
  <c r="V39" i="3" s="1"/>
  <c r="S55" i="3"/>
  <c r="T55" i="3" s="1"/>
  <c r="U55" i="3" s="1"/>
  <c r="V55" i="3" s="1"/>
  <c r="S40" i="3"/>
  <c r="T40" i="3" s="1"/>
  <c r="U40" i="3" s="1"/>
  <c r="V40" i="3" s="1"/>
  <c r="S48" i="3"/>
  <c r="T48" i="3" s="1"/>
  <c r="U48" i="3" s="1"/>
  <c r="V48" i="3" s="1"/>
  <c r="S56" i="3"/>
  <c r="T56" i="3" s="1"/>
  <c r="U56" i="3" s="1"/>
  <c r="V56" i="3" s="1"/>
  <c r="S64" i="3"/>
  <c r="T64" i="3" s="1"/>
  <c r="U64" i="3" s="1"/>
  <c r="V64" i="3" s="1"/>
  <c r="S41" i="3"/>
  <c r="T41" i="3" s="1"/>
  <c r="U41" i="3" s="1"/>
  <c r="V41" i="3" s="1"/>
  <c r="S49" i="3"/>
  <c r="T49" i="3" s="1"/>
  <c r="U49" i="3" s="1"/>
  <c r="V49" i="3" s="1"/>
  <c r="S57" i="3"/>
  <c r="T57" i="3" s="1"/>
  <c r="U57" i="3" s="1"/>
  <c r="V57" i="3" s="1"/>
  <c r="S65" i="3"/>
  <c r="T65" i="3" s="1"/>
  <c r="U65" i="3" s="1"/>
  <c r="V65" i="3" s="1"/>
  <c r="S66" i="3"/>
  <c r="T66" i="3" s="1"/>
  <c r="U66" i="3" s="1"/>
  <c r="V66" i="3" s="1"/>
  <c r="B138" i="3"/>
  <c r="B139" i="3" s="1"/>
  <c r="B145" i="3"/>
  <c r="B94" i="3"/>
  <c r="B172" i="3"/>
  <c r="B207" i="3"/>
  <c r="B208" i="3" s="1"/>
  <c r="B193" i="3"/>
  <c r="F45" i="1"/>
  <c r="J7" i="5" l="1"/>
  <c r="B252" i="3"/>
  <c r="B253" i="3" s="1"/>
  <c r="B32" i="3"/>
  <c r="B218" i="3"/>
  <c r="B237" i="3" s="1"/>
  <c r="B146" i="3"/>
  <c r="B140" i="3"/>
  <c r="B133" i="3"/>
  <c r="B211" i="3"/>
  <c r="B13" i="2" s="1"/>
  <c r="F13" i="2" s="1"/>
  <c r="B195" i="3"/>
  <c r="B142" i="3"/>
  <c r="B141" i="3"/>
  <c r="B6" i="2" s="1"/>
  <c r="F6" i="2" s="1"/>
  <c r="B143" i="3"/>
  <c r="B7" i="2" s="1"/>
  <c r="F102" i="1"/>
  <c r="F7" i="2" l="1"/>
  <c r="F43" i="1"/>
  <c r="B238" i="3"/>
  <c r="B239" i="3"/>
  <c r="B241" i="3" s="1"/>
  <c r="B118" i="1"/>
  <c r="B119" i="1"/>
  <c r="L38" i="3"/>
  <c r="R38" i="3" s="1"/>
  <c r="L46" i="3"/>
  <c r="R46" i="3" s="1"/>
  <c r="L54" i="3"/>
  <c r="R54" i="3" s="1"/>
  <c r="L62" i="3"/>
  <c r="R62" i="3" s="1"/>
  <c r="L70" i="3"/>
  <c r="R70" i="3" s="1"/>
  <c r="L61" i="3"/>
  <c r="R61" i="3" s="1"/>
  <c r="L39" i="3"/>
  <c r="R39" i="3" s="1"/>
  <c r="L47" i="3"/>
  <c r="R47" i="3" s="1"/>
  <c r="L55" i="3"/>
  <c r="R55" i="3" s="1"/>
  <c r="L63" i="3"/>
  <c r="R63" i="3" s="1"/>
  <c r="L71" i="3"/>
  <c r="R71" i="3" s="1"/>
  <c r="L40" i="3"/>
  <c r="R40" i="3" s="1"/>
  <c r="L48" i="3"/>
  <c r="R48" i="3" s="1"/>
  <c r="L56" i="3"/>
  <c r="R56" i="3" s="1"/>
  <c r="L64" i="3"/>
  <c r="R64" i="3" s="1"/>
  <c r="L35" i="3"/>
  <c r="R35" i="3" s="1"/>
  <c r="L59" i="3"/>
  <c r="R59" i="3" s="1"/>
  <c r="L45" i="3"/>
  <c r="R45" i="3" s="1"/>
  <c r="L41" i="3"/>
  <c r="R41" i="3" s="1"/>
  <c r="L49" i="3"/>
  <c r="R49" i="3" s="1"/>
  <c r="L57" i="3"/>
  <c r="R57" i="3" s="1"/>
  <c r="L65" i="3"/>
  <c r="R65" i="3" s="1"/>
  <c r="L37" i="3"/>
  <c r="R37" i="3" s="1"/>
  <c r="L42" i="3"/>
  <c r="R42" i="3" s="1"/>
  <c r="L50" i="3"/>
  <c r="R50" i="3" s="1"/>
  <c r="L58" i="3"/>
  <c r="R58" i="3" s="1"/>
  <c r="L66" i="3"/>
  <c r="R66" i="3" s="1"/>
  <c r="L43" i="3"/>
  <c r="R43" i="3" s="1"/>
  <c r="L51" i="3"/>
  <c r="R51" i="3" s="1"/>
  <c r="L67" i="3"/>
  <c r="R67" i="3" s="1"/>
  <c r="L53" i="3"/>
  <c r="R53" i="3" s="1"/>
  <c r="L69" i="3"/>
  <c r="R69" i="3" s="1"/>
  <c r="L36" i="3"/>
  <c r="R36" i="3" s="1"/>
  <c r="L44" i="3"/>
  <c r="R44" i="3" s="1"/>
  <c r="L52" i="3"/>
  <c r="R52" i="3" s="1"/>
  <c r="L60" i="3"/>
  <c r="R60" i="3" s="1"/>
  <c r="L68" i="3"/>
  <c r="R68" i="3" s="1"/>
  <c r="B147" i="3"/>
  <c r="F5" i="2" s="1"/>
  <c r="Y67" i="3"/>
  <c r="Y45" i="3"/>
  <c r="Y57" i="3"/>
  <c r="Y65" i="3"/>
  <c r="Y43" i="3"/>
  <c r="Y48" i="3"/>
  <c r="Y53" i="3"/>
  <c r="Y70" i="3"/>
  <c r="Y64" i="3"/>
  <c r="Y68" i="3"/>
  <c r="Y36" i="3"/>
  <c r="Y69" i="3"/>
  <c r="Y37" i="3"/>
  <c r="Y62" i="3"/>
  <c r="Y40" i="3"/>
  <c r="Y59" i="3"/>
  <c r="Y60" i="3"/>
  <c r="Y66" i="3"/>
  <c r="Y51" i="3"/>
  <c r="Y71" i="3"/>
  <c r="Y41" i="3"/>
  <c r="Y58" i="3"/>
  <c r="Y47" i="3"/>
  <c r="Y55" i="3"/>
  <c r="Y63" i="3"/>
  <c r="Y44" i="3"/>
  <c r="Y38" i="3"/>
  <c r="Y35" i="3"/>
  <c r="Y46" i="3"/>
  <c r="Y49" i="3"/>
  <c r="Y42" i="3"/>
  <c r="Y52" i="3"/>
  <c r="Y39" i="3"/>
  <c r="Y50" i="3"/>
  <c r="Y61" i="3"/>
  <c r="Y56" i="3"/>
  <c r="Y54" i="3"/>
  <c r="B149" i="3"/>
  <c r="B10" i="2" s="1"/>
  <c r="B205" i="3"/>
  <c r="F92" i="1" s="1"/>
  <c r="B196" i="3"/>
  <c r="B92" i="1" s="1"/>
  <c r="F3" i="2"/>
  <c r="B35" i="1"/>
  <c r="B4" i="2"/>
  <c r="F28" i="1"/>
  <c r="F4" i="2"/>
  <c r="F11" i="2"/>
  <c r="B11" i="2"/>
  <c r="B3" i="2"/>
  <c r="F127" i="1"/>
  <c r="F114" i="1"/>
  <c r="F60" i="1"/>
  <c r="B20" i="1"/>
  <c r="B18" i="1"/>
  <c r="B249" i="3" l="1"/>
  <c r="B161" i="1" s="1"/>
  <c r="B255" i="3"/>
  <c r="Z49" i="3"/>
  <c r="Z65" i="3"/>
  <c r="Z37" i="3"/>
  <c r="Z61" i="3"/>
  <c r="Z36" i="3"/>
  <c r="Z38" i="3"/>
  <c r="Z51" i="3"/>
  <c r="Z71" i="3"/>
  <c r="Z53" i="3"/>
  <c r="Z50" i="3"/>
  <c r="Z45" i="3"/>
  <c r="Z44" i="3"/>
  <c r="B5" i="2"/>
  <c r="Z48" i="3"/>
  <c r="Z62" i="3"/>
  <c r="F10" i="2"/>
  <c r="F33" i="1"/>
  <c r="Z63" i="3"/>
  <c r="Z59" i="3"/>
  <c r="Z52" i="3"/>
  <c r="Z64" i="3"/>
  <c r="Z39" i="3"/>
  <c r="Z70" i="3"/>
  <c r="Z55" i="3"/>
  <c r="Z57" i="3"/>
  <c r="Z40" i="3"/>
  <c r="Z67" i="3"/>
  <c r="Z60" i="3"/>
  <c r="Z69" i="3"/>
  <c r="Z47" i="3"/>
  <c r="Z56" i="3"/>
  <c r="Z41" i="3"/>
  <c r="Z46" i="3"/>
  <c r="Z35" i="3"/>
  <c r="Z43" i="3"/>
  <c r="Z42" i="3"/>
  <c r="Z66" i="3"/>
  <c r="Z68" i="3"/>
  <c r="Z58" i="3"/>
  <c r="Z54" i="3"/>
  <c r="B214" i="3"/>
  <c r="B9" i="2" s="1"/>
  <c r="B209" i="3"/>
  <c r="F126" i="1"/>
  <c r="F54" i="1"/>
  <c r="F58" i="1"/>
  <c r="F56" i="1"/>
  <c r="F9" i="2" l="1"/>
  <c r="F15" i="2" s="1"/>
  <c r="B15" i="2"/>
  <c r="J8" i="5"/>
  <c r="B251" i="3"/>
  <c r="U33" i="3"/>
  <c r="B55" i="1"/>
  <c r="V33" i="3"/>
  <c r="B114" i="1"/>
  <c r="F115" i="1"/>
  <c r="B256" i="3" l="1"/>
  <c r="B258" i="3" s="1"/>
  <c r="B162" i="1" s="1"/>
  <c r="B257" i="3"/>
  <c r="F78" i="1"/>
  <c r="B45" i="1"/>
  <c r="F162" i="1" l="1"/>
  <c r="F48" i="1"/>
  <c r="B70" i="3" l="1"/>
  <c r="B66" i="3"/>
  <c r="B67" i="3" s="1"/>
  <c r="B73" i="3"/>
  <c r="B72" i="3"/>
  <c r="B74" i="3" s="1"/>
  <c r="B83" i="3"/>
  <c r="B84" i="3"/>
  <c r="B75" i="3" l="1"/>
  <c r="B79" i="3"/>
  <c r="B81" i="3" s="1"/>
  <c r="B85" i="3" s="1"/>
  <c r="B87" i="3" s="1"/>
  <c r="B76" i="3"/>
  <c r="B80" i="3" l="1"/>
  <c r="B82" i="3" s="1"/>
  <c r="B86" i="3" s="1"/>
  <c r="B88" i="3" s="1"/>
  <c r="F64" i="1" l="1"/>
  <c r="B90" i="3"/>
  <c r="F66" i="1" l="1"/>
  <c r="AH139" i="3" s="1"/>
  <c r="AI190" i="3" l="1"/>
  <c r="AI174" i="3"/>
  <c r="AI208" i="3"/>
  <c r="AH206" i="3"/>
  <c r="AH174" i="3"/>
  <c r="AH142" i="3"/>
  <c r="AI161" i="3"/>
  <c r="AH193" i="3"/>
  <c r="AH161" i="3"/>
  <c r="AI176" i="3"/>
  <c r="AH164" i="3"/>
  <c r="AI206" i="3"/>
  <c r="AI195" i="3"/>
  <c r="AI163" i="3"/>
  <c r="AI166" i="3"/>
  <c r="AH199" i="3"/>
  <c r="AH167" i="3"/>
  <c r="AI158" i="3"/>
  <c r="AH138" i="3"/>
  <c r="AH189" i="3"/>
  <c r="AH157" i="3"/>
  <c r="AI170" i="3"/>
  <c r="AI204" i="3"/>
  <c r="AI172" i="3"/>
  <c r="AI140" i="3"/>
  <c r="AH192" i="3"/>
  <c r="AH160" i="3"/>
  <c r="AI178" i="3"/>
  <c r="AI191" i="3"/>
  <c r="AI159" i="3"/>
  <c r="AI197" i="3"/>
  <c r="AH195" i="3"/>
  <c r="AH163" i="3"/>
  <c r="AH202" i="3"/>
  <c r="AH170" i="3"/>
  <c r="AI145" i="3"/>
  <c r="AI154" i="3"/>
  <c r="AH198" i="3"/>
  <c r="AH166" i="3"/>
  <c r="AI202" i="3"/>
  <c r="AI137" i="3"/>
  <c r="AH185" i="3"/>
  <c r="AH153" i="3"/>
  <c r="AI209" i="3"/>
  <c r="AI200" i="3"/>
  <c r="AI168" i="3"/>
  <c r="AI136" i="3"/>
  <c r="AH188" i="3"/>
  <c r="AH156" i="3"/>
  <c r="AI201" i="3"/>
  <c r="AI187" i="3"/>
  <c r="AI155" i="3"/>
  <c r="AI173" i="3"/>
  <c r="AH191" i="3"/>
  <c r="AH159" i="3"/>
  <c r="AH155" i="3"/>
  <c r="AH196" i="3"/>
  <c r="AH194" i="3"/>
  <c r="AH149" i="3"/>
  <c r="AI196" i="3"/>
  <c r="AI194" i="3"/>
  <c r="AH152" i="3"/>
  <c r="AI183" i="3"/>
  <c r="AI153" i="3"/>
  <c r="AI146" i="3"/>
  <c r="AH190" i="3"/>
  <c r="AH158" i="3"/>
  <c r="AI162" i="3"/>
  <c r="AH209" i="3"/>
  <c r="AH177" i="3"/>
  <c r="AH145" i="3"/>
  <c r="AI181" i="3"/>
  <c r="AI192" i="3"/>
  <c r="AI160" i="3"/>
  <c r="AI185" i="3"/>
  <c r="AH180" i="3"/>
  <c r="AH148" i="3"/>
  <c r="AH135" i="3"/>
  <c r="AI179" i="3"/>
  <c r="AI147" i="3"/>
  <c r="AH208" i="3"/>
  <c r="AH183" i="3"/>
  <c r="AH151" i="3"/>
  <c r="AI142" i="3"/>
  <c r="AH186" i="3"/>
  <c r="AH154" i="3"/>
  <c r="AI205" i="3"/>
  <c r="AH205" i="3"/>
  <c r="AH173" i="3"/>
  <c r="AH141" i="3"/>
  <c r="AI169" i="3"/>
  <c r="AI188" i="3"/>
  <c r="AI156" i="3"/>
  <c r="AI157" i="3"/>
  <c r="AH176" i="3"/>
  <c r="AH144" i="3"/>
  <c r="AI207" i="3"/>
  <c r="AI175" i="3"/>
  <c r="AI143" i="3"/>
  <c r="AI135" i="3"/>
  <c r="AH179" i="3"/>
  <c r="AH147" i="3"/>
  <c r="AH143" i="3"/>
  <c r="AI144" i="3"/>
  <c r="AI150" i="3"/>
  <c r="AH162" i="3"/>
  <c r="AI182" i="3"/>
  <c r="AH181" i="3"/>
  <c r="AI193" i="3"/>
  <c r="AI164" i="3"/>
  <c r="AH184" i="3"/>
  <c r="AI165" i="3"/>
  <c r="AI151" i="3"/>
  <c r="AH187" i="3"/>
  <c r="AI138" i="3"/>
  <c r="AH182" i="3"/>
  <c r="AH150" i="3"/>
  <c r="AI189" i="3"/>
  <c r="AH201" i="3"/>
  <c r="AH169" i="3"/>
  <c r="AH137" i="3"/>
  <c r="AI149" i="3"/>
  <c r="AI184" i="3"/>
  <c r="AI152" i="3"/>
  <c r="AH204" i="3"/>
  <c r="AH172" i="3"/>
  <c r="AH140" i="3"/>
  <c r="AI203" i="3"/>
  <c r="AI171" i="3"/>
  <c r="AI139" i="3"/>
  <c r="AH207" i="3"/>
  <c r="AH175" i="3"/>
  <c r="AI198" i="3"/>
  <c r="AH210" i="3"/>
  <c r="AH178" i="3"/>
  <c r="AH146" i="3"/>
  <c r="AI177" i="3"/>
  <c r="AH197" i="3"/>
  <c r="AH165" i="3"/>
  <c r="AI210" i="3"/>
  <c r="AI141" i="3"/>
  <c r="AI180" i="3"/>
  <c r="AI148" i="3"/>
  <c r="AH200" i="3"/>
  <c r="AH168" i="3"/>
  <c r="AH136" i="3"/>
  <c r="AI199" i="3"/>
  <c r="AI167" i="3"/>
  <c r="AI186" i="3"/>
  <c r="AH203" i="3"/>
  <c r="AH171" i="3"/>
  <c r="B16" i="2"/>
</calcChain>
</file>

<file path=xl/comments1.xml><?xml version="1.0" encoding="utf-8"?>
<comments xmlns="http://schemas.openxmlformats.org/spreadsheetml/2006/main">
  <authors>
    <author>Anthony Nasir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Vin Min has a minimum voltage of 24V.</t>
        </r>
      </text>
    </comment>
    <comment ref="F12" authorId="0" shapeId="0">
      <text>
        <r>
          <rPr>
            <b/>
            <sz val="9"/>
            <color indexed="81"/>
            <rFont val="Tahoma"/>
            <charset val="1"/>
          </rPr>
          <t>Options are:
210+150 (360) for S02
120+60 (180) for G03
120+100 (220) for G04</t>
        </r>
      </text>
    </comment>
    <comment ref="F13" authorId="0" shapeId="0">
      <text>
        <r>
          <rPr>
            <b/>
            <sz val="9"/>
            <color indexed="81"/>
            <rFont val="Tahoma"/>
            <charset val="1"/>
          </rPr>
          <t>If using a diode instead of sync rec - input diode forward drop here.</t>
        </r>
      </text>
    </comment>
    <comment ref="F19" authorId="0" shapeId="0">
      <text>
        <r>
          <rPr>
            <b/>
            <sz val="9"/>
            <color indexed="81"/>
            <rFont val="Tahoma"/>
            <charset val="1"/>
          </rPr>
          <t>Select Suggested Max Inductance or below
Please input chosen MOSFETs before finalizing value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COSS of Low Side MOSFET as noted on MOSFET Datasheet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COSS of Low Side MOSFET as noted at 10V in COSS curve of Datasheet</t>
        </r>
      </text>
    </comment>
    <comment ref="F34" authorId="0" shapeId="0">
      <text>
        <r>
          <rPr>
            <b/>
            <sz val="9"/>
            <color indexed="81"/>
            <rFont val="Tahoma"/>
            <charset val="1"/>
          </rPr>
          <t>This is primary driver capacitance at the switch node.</t>
        </r>
      </text>
    </comment>
    <comment ref="F39" authorId="0" shapeId="0">
      <text>
        <r>
          <rPr>
            <b/>
            <sz val="9"/>
            <color indexed="81"/>
            <rFont val="Tahoma"/>
            <family val="2"/>
          </rPr>
          <t>Must be greater than Recommended voltage rating</t>
        </r>
      </text>
    </comment>
    <comment ref="B43" authorId="0" shapeId="0">
      <text>
        <r>
          <rPr>
            <b/>
            <sz val="9"/>
            <color indexed="81"/>
            <rFont val="Tahoma"/>
            <charset val="1"/>
          </rPr>
          <t>Indicate here whether a resistor or current sense transformer will be used.</t>
        </r>
      </text>
    </comment>
    <comment ref="F50" authorId="0" shapeId="0">
      <text>
        <r>
          <rPr>
            <b/>
            <sz val="9"/>
            <color indexed="81"/>
            <rFont val="Tahoma"/>
            <charset val="1"/>
          </rPr>
          <t>This value should be within +50%/-20% of recommended value to ensure proper reset and reading.</t>
        </r>
      </text>
    </comment>
    <comment ref="A52" authorId="0" shapeId="0">
      <text>
        <r>
          <rPr>
            <b/>
            <sz val="9"/>
            <color indexed="81"/>
            <rFont val="Tahoma"/>
            <family val="2"/>
          </rPr>
          <t>ATH + DTH biasing circuit can be seen in diagram to the right.</t>
        </r>
      </text>
    </comment>
    <comment ref="F53" authorId="0" shapeId="0">
      <text>
        <r>
          <rPr>
            <b/>
            <sz val="9"/>
            <color indexed="81"/>
            <rFont val="Tahoma"/>
            <charset val="1"/>
          </rPr>
          <t>If using a single output voltage, voltage biasing and zener do not need to be used.</t>
        </r>
      </text>
    </comment>
    <comment ref="F54" authorId="0" shapeId="0">
      <text>
        <r>
          <rPr>
            <b/>
            <sz val="9"/>
            <color indexed="81"/>
            <rFont val="Tahoma"/>
            <family val="2"/>
          </rPr>
          <t>Negative resistor recommendation indicates that a zener must be used. If "DNI", please insert "DNI" to the chosen value.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</rPr>
          <t>Negative resistor recommendation indicates that a zener must be used. If "DNI", please insert "DNI" to the chosen value.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>Negative resistor recommendation indicates that a zener must be used. If "DNI", please insert "DNI" to the chosen value.</t>
        </r>
      </text>
    </comment>
    <comment ref="A63" authorId="0" shapeId="0">
      <text>
        <r>
          <rPr>
            <b/>
            <sz val="9"/>
            <color indexed="81"/>
            <rFont val="Tahoma"/>
            <family val="2"/>
          </rPr>
          <t>If target transition point is below 0A, the system will not transition back to DCM mode.
ATH + DTH biasing circuit can be seen in diagram to the right.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Must be less than DtoA transition point</t>
        </r>
      </text>
    </comment>
    <comment ref="F64" authorId="0" shapeId="0">
      <text>
        <r>
          <rPr>
            <b/>
            <sz val="9"/>
            <color indexed="81"/>
            <rFont val="Tahoma"/>
            <charset val="1"/>
          </rPr>
          <t>Under some conditions, this component will recommend DNI for "Do Not Install"</t>
        </r>
      </text>
    </comment>
    <comment ref="B65" authorId="0" shapeId="0">
      <text>
        <r>
          <rPr>
            <b/>
            <sz val="9"/>
            <color indexed="81"/>
            <rFont val="Tahoma"/>
            <family val="2"/>
          </rPr>
          <t>At light load, error can be seen in frequency estimation. Please insert observed frequency.</t>
        </r>
      </text>
    </comment>
    <comment ref="F65" authorId="0" shapeId="0">
      <text>
        <r>
          <rPr>
            <b/>
            <sz val="9"/>
            <color indexed="81"/>
            <rFont val="Tahoma"/>
            <charset val="1"/>
          </rPr>
          <t>If not intending to use output voltage biasing for A to D transition, please put "DNI" or "0".</t>
        </r>
      </text>
    </comment>
    <comment ref="B66" authorId="0" shapeId="0">
      <text>
        <r>
          <rPr>
            <b/>
            <sz val="9"/>
            <color indexed="81"/>
            <rFont val="Tahoma"/>
            <family val="2"/>
          </rPr>
          <t>At light load, error can be seen in frequency estimation. Please insert observed frequency.</t>
        </r>
      </text>
    </comment>
    <comment ref="A69" authorId="0" shapeId="0">
      <text>
        <r>
          <rPr>
            <b/>
            <sz val="9"/>
            <color indexed="81"/>
            <rFont val="Tahoma"/>
            <charset val="1"/>
          </rPr>
          <t>Current transformer core design utilized Hitachi Metals ML29D with a modified Steinmetz.</t>
        </r>
      </text>
    </comment>
    <comment ref="B70" authorId="0" shapeId="0">
      <text>
        <r>
          <rPr>
            <b/>
            <sz val="9"/>
            <color indexed="81"/>
            <rFont val="Tahoma"/>
            <family val="2"/>
          </rPr>
          <t>Hysteresis loss coefficient</t>
        </r>
      </text>
    </comment>
    <comment ref="B71" authorId="0" shapeId="0">
      <text>
        <r>
          <rPr>
            <b/>
            <sz val="9"/>
            <color indexed="81"/>
            <rFont val="Tahoma"/>
            <family val="2"/>
          </rPr>
          <t>Eddy current loss coefficient</t>
        </r>
      </text>
    </comment>
    <comment ref="B72" authorId="0" shapeId="0">
      <text>
        <r>
          <rPr>
            <b/>
            <sz val="9"/>
            <color indexed="81"/>
            <rFont val="Tahoma"/>
            <family val="2"/>
          </rPr>
          <t>Exponent</t>
        </r>
      </text>
    </comment>
    <comment ref="B74" authorId="0" shapeId="0">
      <text>
        <r>
          <rPr>
            <b/>
            <sz val="9"/>
            <color indexed="81"/>
            <rFont val="Tahoma"/>
            <family val="2"/>
          </rPr>
          <t>High frequency core loss coefficient</t>
        </r>
      </text>
    </comment>
    <comment ref="B75" authorId="0" shapeId="0">
      <text>
        <r>
          <rPr>
            <b/>
            <sz val="9"/>
            <color indexed="81"/>
            <rFont val="Tahoma"/>
            <family val="2"/>
          </rPr>
          <t>High frequency core loss exponent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</rPr>
          <t>High frequency core loss exponent</t>
        </r>
      </text>
    </comment>
    <comment ref="F77" authorId="0" shapeId="0">
      <text>
        <r>
          <rPr>
            <b/>
            <sz val="9"/>
            <color indexed="81"/>
            <rFont val="Tahoma"/>
            <charset val="1"/>
          </rPr>
          <t>Gaps over 0.2mm may be too large and cause EMI or efficiency issues. Please reconsider design if encountered.</t>
        </r>
      </text>
    </comment>
    <comment ref="B83" authorId="0" shapeId="0">
      <text>
        <r>
          <rPr>
            <b/>
            <sz val="9"/>
            <color indexed="81"/>
            <rFont val="Tahoma"/>
            <family val="2"/>
          </rPr>
          <t>AWG should be between 20 &amp; 46</t>
        </r>
      </text>
    </comment>
    <comment ref="F84" authorId="0" shapeId="0">
      <text>
        <r>
          <rPr>
            <b/>
            <sz val="9"/>
            <color indexed="81"/>
            <rFont val="Tahoma"/>
            <charset val="1"/>
          </rPr>
          <t>Allocation of Primary + Secondary + Tape must equal less than 95% (5% reserved for Aux Winding)</t>
        </r>
      </text>
    </comment>
    <comment ref="F85" authorId="0" shapeId="0">
      <text>
        <r>
          <rPr>
            <b/>
            <sz val="9"/>
            <color indexed="81"/>
            <rFont val="Tahoma"/>
            <charset val="1"/>
          </rPr>
          <t>Allocation of Primary + Secondary + Tape must equal less than 95% (5% reserved for Aux Winding)</t>
        </r>
      </text>
    </comment>
    <comment ref="F86" authorId="0" shapeId="0">
      <text>
        <r>
          <rPr>
            <b/>
            <sz val="9"/>
            <color indexed="81"/>
            <rFont val="Tahoma"/>
            <charset val="1"/>
          </rPr>
          <t>AWG should be between 20 &amp; 46</t>
        </r>
      </text>
    </comment>
    <comment ref="A94" authorId="0" shapeId="0">
      <text>
        <r>
          <rPr>
            <b/>
            <sz val="9"/>
            <color indexed="81"/>
            <rFont val="Tahoma"/>
            <family val="2"/>
          </rPr>
          <t>When not intending to place a fuse in design, set Fuse Resistance to 0.</t>
        </r>
      </text>
    </comment>
    <comment ref="B106" authorId="0" shapeId="0">
      <text>
        <r>
          <rPr>
            <b/>
            <sz val="9"/>
            <color indexed="81"/>
            <rFont val="Tahoma"/>
            <charset val="1"/>
          </rPr>
          <t>Using 2 bridge rectifiers can be an effective way to reduce thermals on the bridge.</t>
        </r>
      </text>
    </comment>
    <comment ref="F109" authorId="0" shapeId="0">
      <text>
        <r>
          <rPr>
            <b/>
            <sz val="9"/>
            <color indexed="81"/>
            <rFont val="Tahoma"/>
            <charset val="1"/>
          </rPr>
          <t>Must be greater than or equal to recommended rating</t>
        </r>
      </text>
    </comment>
    <comment ref="F110" authorId="0" shapeId="0">
      <text>
        <r>
          <rPr>
            <b/>
            <sz val="9"/>
            <color indexed="81"/>
            <rFont val="Tahoma"/>
            <charset val="1"/>
          </rPr>
          <t>Must be greater than or equal to recommended rating</t>
        </r>
      </text>
    </comment>
    <comment ref="F111" authorId="0" shapeId="0">
      <text>
        <r>
          <rPr>
            <b/>
            <sz val="9"/>
            <color indexed="81"/>
            <rFont val="Tahoma"/>
            <charset val="1"/>
          </rPr>
          <t>Must be less than or equal to max juntion temp given</t>
        </r>
      </text>
    </comment>
    <comment ref="A113" authorId="0" shapeId="0">
      <text>
        <r>
          <rPr>
            <b/>
            <sz val="9"/>
            <color indexed="81"/>
            <rFont val="Tahoma"/>
            <family val="2"/>
          </rPr>
          <t>Output capacitance is based on output voltage ripple specification</t>
        </r>
      </text>
    </comment>
    <comment ref="F133" authorId="0" shapeId="0">
      <text>
        <r>
          <rPr>
            <b/>
            <sz val="9"/>
            <color indexed="81"/>
            <rFont val="Tahoma"/>
            <charset val="1"/>
          </rPr>
          <t>Sum of HV resistors must be less than 3kOhms</t>
        </r>
      </text>
    </comment>
    <comment ref="F134" authorId="0" shapeId="0">
      <text>
        <r>
          <rPr>
            <b/>
            <sz val="9"/>
            <color indexed="81"/>
            <rFont val="Tahoma"/>
            <charset val="1"/>
          </rPr>
          <t>Sum of HV resistors must be less than 3kOhms</t>
        </r>
      </text>
    </comment>
    <comment ref="B139" authorId="0" shapeId="0">
      <text>
        <r>
          <rPr>
            <b/>
            <sz val="9"/>
            <color indexed="81"/>
            <rFont val="Tahoma"/>
            <charset val="1"/>
          </rPr>
          <t>NCP51530 HB Driver is limited to 20V VCC</t>
        </r>
      </text>
    </comment>
    <comment ref="F145" authorId="0" shapeId="0">
      <text>
        <r>
          <rPr>
            <b/>
            <sz val="9"/>
            <color indexed="81"/>
            <rFont val="Tahoma"/>
            <charset val="1"/>
          </rPr>
          <t>Must be greater than or equal to recommended value</t>
        </r>
      </text>
    </comment>
    <comment ref="B151" authorId="0" shapeId="0">
      <text>
        <r>
          <rPr>
            <b/>
            <sz val="9"/>
            <color indexed="81"/>
            <rFont val="Tahoma"/>
            <charset val="1"/>
          </rPr>
          <t>If this is flagged, the output voltage exceeds 36V and NCP431 cannot be used.</t>
        </r>
      </text>
    </comment>
    <comment ref="B162" authorId="0" shapeId="0">
      <text>
        <r>
          <rPr>
            <b/>
            <sz val="9"/>
            <color indexed="81"/>
            <rFont val="Tahoma"/>
            <charset val="1"/>
          </rPr>
          <t>Additional Phase may be introduced by adding a small capacitor in parallel to RLED (&lt;4.7nF)</t>
        </r>
      </text>
    </comment>
    <comment ref="F162" authorId="0" shapeId="0">
      <text>
        <r>
          <rPr>
            <b/>
            <sz val="9"/>
            <color indexed="81"/>
            <rFont val="Tahoma"/>
            <charset val="1"/>
          </rPr>
          <t>This may be lower than expected because of the Capacitance of the Optocoupler on the Primary Side</t>
        </r>
      </text>
    </comment>
  </commentList>
</comments>
</file>

<file path=xl/sharedStrings.xml><?xml version="1.0" encoding="utf-8"?>
<sst xmlns="http://schemas.openxmlformats.org/spreadsheetml/2006/main" count="1135" uniqueCount="685">
  <si>
    <t>Output Power</t>
  </si>
  <si>
    <t>Vin Min</t>
  </si>
  <si>
    <t>Vin Max</t>
  </si>
  <si>
    <t>Target Efficiency</t>
  </si>
  <si>
    <t>Watts</t>
  </si>
  <si>
    <t>%</t>
  </si>
  <si>
    <t>kHz</t>
  </si>
  <si>
    <t>Vout Min</t>
  </si>
  <si>
    <t>Vout Max</t>
  </si>
  <si>
    <t>Iout Max</t>
  </si>
  <si>
    <t>Iout @ Max Vout</t>
  </si>
  <si>
    <t>Amps</t>
  </si>
  <si>
    <t>Min ACF Frequency</t>
  </si>
  <si>
    <t>Vout Tolerance</t>
  </si>
  <si>
    <t>Vout Ripple</t>
  </si>
  <si>
    <t>Duty Cycle Max</t>
  </si>
  <si>
    <t>Transformer</t>
  </si>
  <si>
    <t>MOSFETs</t>
  </si>
  <si>
    <t>Primary Voltage Rating</t>
  </si>
  <si>
    <t>Secondary Voltage Rating</t>
  </si>
  <si>
    <t>Derating</t>
  </si>
  <si>
    <t>Volts</t>
  </si>
  <si>
    <t>Turns P:S</t>
  </si>
  <si>
    <t>Primary Spike DCM</t>
  </si>
  <si>
    <t>Secondary Spike</t>
  </si>
  <si>
    <t>COSS Sec FET</t>
  </si>
  <si>
    <t>COSS Sec FET 10V</t>
  </si>
  <si>
    <t>Drive Capacitance</t>
  </si>
  <si>
    <t>Transformer Capacitance</t>
  </si>
  <si>
    <t>pF</t>
  </si>
  <si>
    <t>Chosen Inductance</t>
  </si>
  <si>
    <t>Chosen Leakage</t>
  </si>
  <si>
    <t>DmaxVinmin</t>
  </si>
  <si>
    <t>CswTotal</t>
  </si>
  <si>
    <t>uH</t>
  </si>
  <si>
    <t>CossSecAVG</t>
  </si>
  <si>
    <t>InegVinminVoutmin</t>
  </si>
  <si>
    <t>Tzvs</t>
  </si>
  <si>
    <t>ns</t>
  </si>
  <si>
    <t>RtRec</t>
  </si>
  <si>
    <t>kOhms</t>
  </si>
  <si>
    <t>DutyACFVinminVoutminIoutMax</t>
  </si>
  <si>
    <t>VoutminTol</t>
  </si>
  <si>
    <t>VoutmaxTol</t>
  </si>
  <si>
    <t>RiseTimeVinminVoutminIoutMax</t>
  </si>
  <si>
    <t>RiseMax</t>
  </si>
  <si>
    <t>FswVinminVoutminIoutMax</t>
  </si>
  <si>
    <t>Target Efficiency 4W</t>
  </si>
  <si>
    <t>nLinVoutminIoutMax</t>
  </si>
  <si>
    <t>IcircVoutminIoutMax</t>
  </si>
  <si>
    <t>PcircVoutminIoutMax</t>
  </si>
  <si>
    <t>Chosen RT</t>
  </si>
  <si>
    <t>Chosen Targeted Frequency</t>
  </si>
  <si>
    <t>RtRecPostCalc</t>
  </si>
  <si>
    <t>DclampcapRec</t>
  </si>
  <si>
    <t>CclampRec</t>
  </si>
  <si>
    <t>uF</t>
  </si>
  <si>
    <t>Clamp Cap</t>
  </si>
  <si>
    <t>Chosen Value</t>
  </si>
  <si>
    <t>Voltage Rating Recommend</t>
  </si>
  <si>
    <t>Chosen Rating</t>
  </si>
  <si>
    <t>Derate Percentage</t>
  </si>
  <si>
    <t>Clamp Cap ESR</t>
  </si>
  <si>
    <t>mOhms</t>
  </si>
  <si>
    <t>Input Parameters</t>
  </si>
  <si>
    <t>VLimVinminVoutmaxIoutMVout</t>
  </si>
  <si>
    <t>FswVinminVoutmaxIoutMVout</t>
  </si>
  <si>
    <t>PcircVoutmaxIoutVoutMax</t>
  </si>
  <si>
    <t>IcircVoutmaxIoutVoutMax</t>
  </si>
  <si>
    <t>DutyACFVinminVoutmaxIoutVoutMax</t>
  </si>
  <si>
    <t>RiseTimeVinminVoutmaxIoutVoutMax</t>
  </si>
  <si>
    <t>InegVinminVoutmax</t>
  </si>
  <si>
    <t>nLinVoutmaxIoutVoutMax</t>
  </si>
  <si>
    <t>RSRec</t>
  </si>
  <si>
    <t>Ohms</t>
  </si>
  <si>
    <t>Sense Resistor Chosen</t>
  </si>
  <si>
    <t>PRsWorst</t>
  </si>
  <si>
    <t>Turns Ratio CT</t>
  </si>
  <si>
    <t>Turns</t>
  </si>
  <si>
    <t>Burden Resistor Chosen</t>
  </si>
  <si>
    <t>Rburden</t>
  </si>
  <si>
    <t>RburdenSuggest</t>
  </si>
  <si>
    <t>Ropp Recommend</t>
  </si>
  <si>
    <t>Burden Resistor Recommend</t>
  </si>
  <si>
    <t>CompDel</t>
  </si>
  <si>
    <t>RoppRec</t>
  </si>
  <si>
    <t>OppCVinmin</t>
  </si>
  <si>
    <t>uA</t>
  </si>
  <si>
    <t>OppCVinmax</t>
  </si>
  <si>
    <t>Ropp Chosen</t>
  </si>
  <si>
    <t>FswDCMMax</t>
  </si>
  <si>
    <t>FswACFMax</t>
  </si>
  <si>
    <t>DCM to ACF Transition</t>
  </si>
  <si>
    <t>Target Transition Point</t>
  </si>
  <si>
    <t>Number of Secondary Turns</t>
  </si>
  <si>
    <t>Number of Aux Turns</t>
  </si>
  <si>
    <t>Zener Voltage</t>
  </si>
  <si>
    <t>IATH</t>
  </si>
  <si>
    <t>RATHVinminVoutmin</t>
  </si>
  <si>
    <t>RATHVinminVoutmax</t>
  </si>
  <si>
    <t>VREFRangeVoutmax</t>
  </si>
  <si>
    <t>Nauxsec</t>
  </si>
  <si>
    <t>A:S</t>
  </si>
  <si>
    <t>FBGain</t>
  </si>
  <si>
    <t>V:V</t>
  </si>
  <si>
    <t>TonDCMVinminVoutmaxItran</t>
  </si>
  <si>
    <t>TonDCMVinminVoutminItran</t>
  </si>
  <si>
    <t>IPKDCMVinminVoutmaxItran</t>
  </si>
  <si>
    <t>IPKDCMVinminVoutminItran</t>
  </si>
  <si>
    <t>VFBVinminVoutmaxItran</t>
  </si>
  <si>
    <t>VFBVinminVoutminItran</t>
  </si>
  <si>
    <t>sec</t>
  </si>
  <si>
    <t>OPPExtVinminVoutmax</t>
  </si>
  <si>
    <t>OPPExtVinminVoutmin</t>
  </si>
  <si>
    <t>VcompRoppVinminVoutmax</t>
  </si>
  <si>
    <t>VcompRoppVinminVoutmin</t>
  </si>
  <si>
    <t>RlineandVoOPP</t>
  </si>
  <si>
    <t>VRoppEXTVinminVoutmax</t>
  </si>
  <si>
    <t>VRoppEXTVinminVoutmin</t>
  </si>
  <si>
    <t>RZ2Rec</t>
  </si>
  <si>
    <t>RZ1Rec</t>
  </si>
  <si>
    <t>VREFRangeVoutmin</t>
  </si>
  <si>
    <t>RNoZ2Rec</t>
  </si>
  <si>
    <t>RNoZ1Rec</t>
  </si>
  <si>
    <t>RdsOn Low FET</t>
  </si>
  <si>
    <t>RdsOn High FET</t>
  </si>
  <si>
    <t>RdsOn Sec FET</t>
  </si>
  <si>
    <t>IDTH</t>
  </si>
  <si>
    <t>ACF to DCM Transition</t>
  </si>
  <si>
    <t>AtoDTrans</t>
  </si>
  <si>
    <t>VFBACFVinminVoutmaxItranACF</t>
  </si>
  <si>
    <t>VFBACFVinminVoutminItranACF</t>
  </si>
  <si>
    <t>ImaxACFVinminVoutmaxItranACF</t>
  </si>
  <si>
    <t>ImaxACFVinminVoutminItranACF</t>
  </si>
  <si>
    <t>dIACFVinminVoutmaxItranACF</t>
  </si>
  <si>
    <t>dIACFVinminVoutminItranACF</t>
  </si>
  <si>
    <t>ImidACFVinminVoutmaxItranACF</t>
  </si>
  <si>
    <t>ImidACFVinminVoutminItranACF</t>
  </si>
  <si>
    <t>TACFVinminVoutmaxItranACF</t>
  </si>
  <si>
    <t>TACFVinminVoutminItranACF</t>
  </si>
  <si>
    <t>FswACFVinminVoutmaxItranACF</t>
  </si>
  <si>
    <t>FswACFVinminVoutminItranACF</t>
  </si>
  <si>
    <t>FswNolimACFVinminVoutmaxItranACF</t>
  </si>
  <si>
    <t>FswNolimACFVinminVoutminItranACF</t>
  </si>
  <si>
    <t>RisetimeVinminVoutmaxItranACF</t>
  </si>
  <si>
    <t>RisetimeVinminVoutminItranACF</t>
  </si>
  <si>
    <t>DutyACFVinminVoutminItranACF</t>
  </si>
  <si>
    <t>DutyACFVinminVoutmaxItranACF</t>
  </si>
  <si>
    <t>nLinVoutminITranACF</t>
  </si>
  <si>
    <t>nLinVoutmaxITranACF</t>
  </si>
  <si>
    <t>PcircVoutminItranACF</t>
  </si>
  <si>
    <t>IcircVoutminItranACF</t>
  </si>
  <si>
    <t>PcircVoutmaxItranACF</t>
  </si>
  <si>
    <t>IcircVoutmaxItranACF</t>
  </si>
  <si>
    <t>nA</t>
  </si>
  <si>
    <t>us</t>
  </si>
  <si>
    <t>RDTH1Rec</t>
  </si>
  <si>
    <t>RDTH2Rec</t>
  </si>
  <si>
    <t>Input Currents and Fuse Ratings</t>
  </si>
  <si>
    <t>IinDCMax</t>
  </si>
  <si>
    <t>Ifuse</t>
  </si>
  <si>
    <t>Fuse Resistance</t>
  </si>
  <si>
    <t>Input Capacitance</t>
  </si>
  <si>
    <t>Dissipation Factor</t>
  </si>
  <si>
    <t>ESR Calculation</t>
  </si>
  <si>
    <t>ESR Chosen</t>
  </si>
  <si>
    <t>CbulkRec</t>
  </si>
  <si>
    <t>ESRBulkCalc</t>
  </si>
  <si>
    <t>ILSSWRMSVinminVoutmaxIoutVoutMax</t>
  </si>
  <si>
    <t>IpkACFVinminVoutmaxIoutVoutMax</t>
  </si>
  <si>
    <t>Voltage Rating</t>
  </si>
  <si>
    <t>Voltage Rating Min</t>
  </si>
  <si>
    <t>VrateCbulk</t>
  </si>
  <si>
    <t>Primary Snubber</t>
  </si>
  <si>
    <t>Rclamp</t>
  </si>
  <si>
    <t>Output Capacitance</t>
  </si>
  <si>
    <t>ESR Output Cap Max</t>
  </si>
  <si>
    <t>IpkMarVinmaxVoutminIoutMax</t>
  </si>
  <si>
    <t>ImpedCOUTMAXVinmaxVoutminIoutMax</t>
  </si>
  <si>
    <t>IpkFrz</t>
  </si>
  <si>
    <t>mVolts</t>
  </si>
  <si>
    <t>TonDCMVinmaxVoutminIoutmax</t>
  </si>
  <si>
    <t>ToffDCMVinmaxVoutminIoutmax</t>
  </si>
  <si>
    <t>TswDCMMax</t>
  </si>
  <si>
    <t>VpkFrz</t>
  </si>
  <si>
    <t>FSWMin</t>
  </si>
  <si>
    <t>ESRRec</t>
  </si>
  <si>
    <t>ECAP Rec.</t>
  </si>
  <si>
    <t>Ceramics Rec.</t>
  </si>
  <si>
    <t>ECAP Value</t>
  </si>
  <si>
    <t>ECAP Count</t>
  </si>
  <si>
    <t>Ceramics Value</t>
  </si>
  <si>
    <t>Ceramics Count</t>
  </si>
  <si>
    <t>CcoutRecE</t>
  </si>
  <si>
    <t>CcoutRecC</t>
  </si>
  <si>
    <t>#</t>
  </si>
  <si>
    <t>CoutCCh</t>
  </si>
  <si>
    <t>CoutECh</t>
  </si>
  <si>
    <t>VCC Capacitor</t>
  </si>
  <si>
    <t>Soft Start Time</t>
  </si>
  <si>
    <t>ms</t>
  </si>
  <si>
    <t>TDCM</t>
  </si>
  <si>
    <t>FLSAVG</t>
  </si>
  <si>
    <t>FHSAVG</t>
  </si>
  <si>
    <t>QG Low Side</t>
  </si>
  <si>
    <t>QG High Side</t>
  </si>
  <si>
    <t>nC</t>
  </si>
  <si>
    <t>ICCQGTot</t>
  </si>
  <si>
    <t>IdrvExt</t>
  </si>
  <si>
    <t>ICC1568</t>
  </si>
  <si>
    <t>Isoftstart</t>
  </si>
  <si>
    <t>CvccRec</t>
  </si>
  <si>
    <t>Vccon</t>
  </si>
  <si>
    <t>Vccoff</t>
  </si>
  <si>
    <t>Ceramic Derating</t>
  </si>
  <si>
    <t>Electrolytic Derating</t>
  </si>
  <si>
    <t>Ceramic Rec.</t>
  </si>
  <si>
    <t>Electrolytic Rec.</t>
  </si>
  <si>
    <t>VCC Cap Chosen</t>
  </si>
  <si>
    <t>VCC Decouple</t>
  </si>
  <si>
    <t>Ceramic Vcc</t>
  </si>
  <si>
    <t>ECAP Vcc</t>
  </si>
  <si>
    <t>HV Startup</t>
  </si>
  <si>
    <t>Boot Cap Selection</t>
  </si>
  <si>
    <t>VCC Regulation Point</t>
  </si>
  <si>
    <t>Startup Bias Voltage</t>
  </si>
  <si>
    <t>Boot IQ</t>
  </si>
  <si>
    <t>Vboot Off</t>
  </si>
  <si>
    <t>Igss Leakage</t>
  </si>
  <si>
    <t>Boot Diode Leakage Current</t>
  </si>
  <si>
    <t>Q Internal Level Shift</t>
  </si>
  <si>
    <t>Drive Voltage</t>
  </si>
  <si>
    <t>Total Gate Charge</t>
  </si>
  <si>
    <t>Cboot Voltage Rating</t>
  </si>
  <si>
    <t>QtotBootCap</t>
  </si>
  <si>
    <t>Cgate</t>
  </si>
  <si>
    <t>nF</t>
  </si>
  <si>
    <t>CbootRec</t>
  </si>
  <si>
    <t>Cboot</t>
  </si>
  <si>
    <t>SkiptimeVoutminIbootish</t>
  </si>
  <si>
    <t>FneededVoutminIbootish</t>
  </si>
  <si>
    <t>CbootskipVoutminIbootish</t>
  </si>
  <si>
    <t>PNoLoadBoot</t>
  </si>
  <si>
    <t>mW</t>
  </si>
  <si>
    <t>Ibootish</t>
  </si>
  <si>
    <t>Hz</t>
  </si>
  <si>
    <t>Cboot Rec.</t>
  </si>
  <si>
    <t>Cboot Chosen</t>
  </si>
  <si>
    <t>Low Side FET Conduction Loss</t>
  </si>
  <si>
    <t>High Side FET Conduction Loss</t>
  </si>
  <si>
    <t>Secondary Conduction Loss</t>
  </si>
  <si>
    <t>Sense Resistor Loss</t>
  </si>
  <si>
    <t>Current Sense Transformer Loss</t>
  </si>
  <si>
    <t>Output Capacitor ESR Loss</t>
  </si>
  <si>
    <t>Clamp Cap Loss</t>
  </si>
  <si>
    <t>Total Loss</t>
  </si>
  <si>
    <t>Total Efficiency</t>
  </si>
  <si>
    <t>Permitted Total Loss</t>
  </si>
  <si>
    <t>% total</t>
  </si>
  <si>
    <t>PCurrentSense</t>
  </si>
  <si>
    <t>PLSConduction</t>
  </si>
  <si>
    <t>PHSConduction</t>
  </si>
  <si>
    <t>VcrIni</t>
  </si>
  <si>
    <t>Zclamp</t>
  </si>
  <si>
    <t>Wclamp</t>
  </si>
  <si>
    <t>ISW2RMS</t>
  </si>
  <si>
    <t>TevalVinminVoutmaxIoutMVout</t>
  </si>
  <si>
    <t>IntegralISWRMS</t>
  </si>
  <si>
    <t>eh</t>
  </si>
  <si>
    <t>PRSACF</t>
  </si>
  <si>
    <t>PClampCap</t>
  </si>
  <si>
    <t>PCST</t>
  </si>
  <si>
    <t>Resistance of CT</t>
  </si>
  <si>
    <t>IntegralISEC</t>
  </si>
  <si>
    <t>CharlieIntegral</t>
  </si>
  <si>
    <t>ISECRMS</t>
  </si>
  <si>
    <t>PSecCond</t>
  </si>
  <si>
    <t>CsecESRTot</t>
  </si>
  <si>
    <t>PCapsOut</t>
  </si>
  <si>
    <t>Magnetics Design</t>
  </si>
  <si>
    <t>KH</t>
  </si>
  <si>
    <t>Ke</t>
  </si>
  <si>
    <t>xx</t>
  </si>
  <si>
    <t>MuR</t>
  </si>
  <si>
    <t>Kk</t>
  </si>
  <si>
    <t>alpha</t>
  </si>
  <si>
    <t>beta</t>
  </si>
  <si>
    <t>Ae</t>
  </si>
  <si>
    <t>Lc</t>
  </si>
  <si>
    <t>Ve</t>
  </si>
  <si>
    <t>BobbinInnerDiameter</t>
  </si>
  <si>
    <t>BobbinOuterDiameter</t>
  </si>
  <si>
    <t>mm^2</t>
  </si>
  <si>
    <t>mm</t>
  </si>
  <si>
    <t>TonACFVinminVoutmaxIoutMVout</t>
  </si>
  <si>
    <t>ImaxACFVinminVoutmaxIoutMVout</t>
  </si>
  <si>
    <t>BmPkVinminVoutmaxIoutMVout</t>
  </si>
  <si>
    <t>T</t>
  </si>
  <si>
    <t>CurrentLimit</t>
  </si>
  <si>
    <t>BmPkSCP</t>
  </si>
  <si>
    <t>gapcalc</t>
  </si>
  <si>
    <t>MuO</t>
  </si>
  <si>
    <t>um</t>
  </si>
  <si>
    <t>Gap Estimate</t>
  </si>
  <si>
    <t>PcvML29D</t>
  </si>
  <si>
    <t>mW/mm^3</t>
  </si>
  <si>
    <t>FactorforSquareWaves</t>
  </si>
  <si>
    <t>FwaveVinminVoutmaxIoutMVout</t>
  </si>
  <si>
    <t>PcoreSQ22</t>
  </si>
  <si>
    <t>Core Power Losses</t>
  </si>
  <si>
    <t>DepthCore</t>
  </si>
  <si>
    <t>Bdepth</t>
  </si>
  <si>
    <t>BobbinMTL</t>
  </si>
  <si>
    <t>PriLength</t>
  </si>
  <si>
    <t>SecLength</t>
  </si>
  <si>
    <t>PriAuxLength</t>
  </si>
  <si>
    <t>Vout Winding Transition</t>
  </si>
  <si>
    <t>Regulation Drop</t>
  </si>
  <si>
    <t>VCC Margin</t>
  </si>
  <si>
    <t>NauxTot</t>
  </si>
  <si>
    <t>NauxTakeover</t>
  </si>
  <si>
    <t>NauxHigh</t>
  </si>
  <si>
    <t>SkinDepthVinminVoutmaxIoutMVout</t>
  </si>
  <si>
    <t>m</t>
  </si>
  <si>
    <t>AWGsigskinVinminVoutmaxIoutMVout</t>
  </si>
  <si>
    <t>DiameterAWG</t>
  </si>
  <si>
    <t>in</t>
  </si>
  <si>
    <t>RperD1</t>
  </si>
  <si>
    <t>Number123</t>
  </si>
  <si>
    <t>TotalNumberofWiresAWG</t>
  </si>
  <si>
    <t>Para2</t>
  </si>
  <si>
    <t>TurnsperLayer2</t>
  </si>
  <si>
    <t>Layers2</t>
  </si>
  <si>
    <t>ACRes2</t>
  </si>
  <si>
    <t>wireR2</t>
  </si>
  <si>
    <t>Rtot2</t>
  </si>
  <si>
    <t>Rtot3</t>
  </si>
  <si>
    <t>PtransDCAC</t>
  </si>
  <si>
    <t>ItransPriRMSVinminVoutmaxIoutMVout</t>
  </si>
  <si>
    <t>Primary to Secondary Interfaces</t>
  </si>
  <si>
    <t>Tape Thickness</t>
  </si>
  <si>
    <t>Pri to Pri + Sec to Sec Interfaces</t>
  </si>
  <si>
    <t>mil</t>
  </si>
  <si>
    <t>Isolation</t>
  </si>
  <si>
    <t>palocationsec</t>
  </si>
  <si>
    <t>DepthNumber12</t>
  </si>
  <si>
    <t>totalnumber12</t>
  </si>
  <si>
    <t>para12</t>
  </si>
  <si>
    <t>TurnsperLayer1</t>
  </si>
  <si>
    <t>wireR12</t>
  </si>
  <si>
    <t>RtotS122</t>
  </si>
  <si>
    <t>PtransSec</t>
  </si>
  <si>
    <t>wireR123</t>
  </si>
  <si>
    <t>RtotPA1</t>
  </si>
  <si>
    <t>PauxWind</t>
  </si>
  <si>
    <t>PtransTot</t>
  </si>
  <si>
    <t>TZVS Options</t>
  </si>
  <si>
    <t>Primary Voltage Rating Rec.</t>
  </si>
  <si>
    <t>Secondary Voltage Rating Rec.</t>
  </si>
  <si>
    <t>Name</t>
  </si>
  <si>
    <t>Value</t>
  </si>
  <si>
    <t>Units</t>
  </si>
  <si>
    <t>Min Recommended Value</t>
  </si>
  <si>
    <t>Vin Nominal</t>
  </si>
  <si>
    <t>Suggested Turns Ratio</t>
  </si>
  <si>
    <t>Chosen Turns Ratio</t>
  </si>
  <si>
    <t>Suggested RT Resistor</t>
  </si>
  <si>
    <t>Green highlighted cells indicate editable parameters</t>
  </si>
  <si>
    <t>How to use this sheet:</t>
  </si>
  <si>
    <t>Orange highlighted cells indicate calculated parameters (non-editable)</t>
  </si>
  <si>
    <t>Cbulk</t>
  </si>
  <si>
    <t>T1</t>
  </si>
  <si>
    <t>RT</t>
  </si>
  <si>
    <t>RDTHb</t>
  </si>
  <si>
    <t>CATH</t>
  </si>
  <si>
    <t>RATHb</t>
  </si>
  <si>
    <t>RFB</t>
  </si>
  <si>
    <t>RCS</t>
  </si>
  <si>
    <t>Cvcc</t>
  </si>
  <si>
    <t>ZATH</t>
  </si>
  <si>
    <t>Rreset</t>
  </si>
  <si>
    <t>Cclamp</t>
  </si>
  <si>
    <t>Cout1</t>
  </si>
  <si>
    <t>Cout2</t>
  </si>
  <si>
    <t>Count</t>
  </si>
  <si>
    <t>IC's</t>
  </si>
  <si>
    <t>NCP4306AAD</t>
  </si>
  <si>
    <t>kΩ</t>
  </si>
  <si>
    <t>Ω</t>
  </si>
  <si>
    <t>mΩ</t>
  </si>
  <si>
    <t>CDTH</t>
  </si>
  <si>
    <t>V</t>
  </si>
  <si>
    <t>RHV1</t>
  </si>
  <si>
    <t>CT</t>
  </si>
  <si>
    <t>Min Size</t>
  </si>
  <si>
    <t>SOD523</t>
  </si>
  <si>
    <t>Fuse Loss</t>
  </si>
  <si>
    <t>Pfuse</t>
  </si>
  <si>
    <t>Pbulk</t>
  </si>
  <si>
    <t>Bulk Loss</t>
  </si>
  <si>
    <t>Current Sense Transformer (Option)</t>
  </si>
  <si>
    <t>Sense Resistor (Option) and OPP</t>
  </si>
  <si>
    <t>Current Transformer OR Sense Resistor</t>
  </si>
  <si>
    <t>Option</t>
  </si>
  <si>
    <t>RS</t>
  </si>
  <si>
    <t>CS Option</t>
  </si>
  <si>
    <t>Power Derating</t>
  </si>
  <si>
    <t>Sense Resistor Max Recommend</t>
  </si>
  <si>
    <t>Pclamp</t>
  </si>
  <si>
    <t>High Voltage Resistor 1 Final Value</t>
  </si>
  <si>
    <t>COSS Low FET</t>
  </si>
  <si>
    <t>COSS Low FET 10V</t>
  </si>
  <si>
    <t>COSS High FET</t>
  </si>
  <si>
    <t>COSS High FET 10V</t>
  </si>
  <si>
    <t>CossHighAVG</t>
  </si>
  <si>
    <t>CossLowAVG</t>
  </si>
  <si>
    <t>Primary Clamp Loss</t>
  </si>
  <si>
    <t>Boot Cap Derate</t>
  </si>
  <si>
    <t>Cboot Voltage Min Recommended</t>
  </si>
  <si>
    <t>BinVoltageVathZener</t>
  </si>
  <si>
    <t>BinVoltageVathNoZener</t>
  </si>
  <si>
    <t>Output Voltage</t>
  </si>
  <si>
    <t>Transformer Core Loss</t>
  </si>
  <si>
    <t>Transformer Copper Loss</t>
  </si>
  <si>
    <t>PXFMRCond</t>
  </si>
  <si>
    <t>Varies</t>
  </si>
  <si>
    <t>Zener Decode</t>
  </si>
  <si>
    <t>NoZ Decode</t>
  </si>
  <si>
    <t>VATHNoZ</t>
  </si>
  <si>
    <t>VATHZ</t>
  </si>
  <si>
    <t>IoutTransZ</t>
  </si>
  <si>
    <t>IoutTransNoZ</t>
  </si>
  <si>
    <t>D2A Transitions</t>
  </si>
  <si>
    <t>A2D Transitions</t>
  </si>
  <si>
    <t>VcompVinmin</t>
  </si>
  <si>
    <t>VcompVinmax</t>
  </si>
  <si>
    <t>FSWVinmin</t>
  </si>
  <si>
    <t>FSWVinmax</t>
  </si>
  <si>
    <t>VREFRange</t>
  </si>
  <si>
    <t>InegVinmin</t>
  </si>
  <si>
    <t>InegVinmax</t>
  </si>
  <si>
    <t>DutyVinmin</t>
  </si>
  <si>
    <t>DutyVinmax</t>
  </si>
  <si>
    <t>RiseVinmin</t>
  </si>
  <si>
    <t>RiseVinmax</t>
  </si>
  <si>
    <t>FswnolimVinmin</t>
  </si>
  <si>
    <t>FswnolimVinmax</t>
  </si>
  <si>
    <t>Pcirc</t>
  </si>
  <si>
    <t>nLin</t>
  </si>
  <si>
    <t>Icirc</t>
  </si>
  <si>
    <t>VDTHVout</t>
  </si>
  <si>
    <t>DTHTranVinmin</t>
  </si>
  <si>
    <t>DTHTranVinmax</t>
  </si>
  <si>
    <t>Fuse Current Rating Recommended</t>
  </si>
  <si>
    <t>Fuse Current Rating Selection</t>
  </si>
  <si>
    <t>Rclamp Chosen</t>
  </si>
  <si>
    <t>Rclamp Recommended</t>
  </si>
  <si>
    <t>Voltage Rating Chosen</t>
  </si>
  <si>
    <t>High Voltage Resistor 1 Rec.</t>
  </si>
  <si>
    <t>Copper Losses Secondary</t>
  </si>
  <si>
    <t>Copper Losses Primary</t>
  </si>
  <si>
    <t>Primary FET Losses</t>
  </si>
  <si>
    <t>Secondary FET Losses</t>
  </si>
  <si>
    <t>High Side FET Losses</t>
  </si>
  <si>
    <t>Reset Resistor Chosen</t>
  </si>
  <si>
    <t>Copper Losses</t>
  </si>
  <si>
    <t>Number of Primary Layers</t>
  </si>
  <si>
    <t>Layers</t>
  </si>
  <si>
    <t>AWG</t>
  </si>
  <si>
    <t>Nps*(Ipk_acf(Vindc,Vout,Iout)-Nps*Vout*t/(Lmags+Lleak))-ILRCL1(Vindc,Vout,Iout,t)</t>
  </si>
  <si>
    <t>(Nps*Vout-VcrIni(Vout))/Z1*sin(w1*t)+IpkACF*cos(w1*t)</t>
  </si>
  <si>
    <t>VDTHVoutVinmin</t>
  </si>
  <si>
    <t>Fsw at Transition Point VoutMax Vinmin</t>
  </si>
  <si>
    <t>Fsw at Transition Point VoutMin Vinmin</t>
  </si>
  <si>
    <t>RATH</t>
  </si>
  <si>
    <t>RDTH</t>
  </si>
  <si>
    <t>mm^3</t>
  </si>
  <si>
    <t>Np1</t>
  </si>
  <si>
    <t>ItransPRIRMS</t>
  </si>
  <si>
    <t>Add steinmertz</t>
  </si>
  <si>
    <t>NfitPri</t>
  </si>
  <si>
    <t>Length of winding mm</t>
  </si>
  <si>
    <t>ResistanceofPrimary Ohms</t>
  </si>
  <si>
    <t>Resistance of Single Strand ohms</t>
  </si>
  <si>
    <t>CrossSectionalAreaofWiremm^2</t>
  </si>
  <si>
    <t>PowerDisWindings</t>
  </si>
  <si>
    <t>Bm22</t>
  </si>
  <si>
    <t>PCVML29D22</t>
  </si>
  <si>
    <t>PcoreSin</t>
  </si>
  <si>
    <t>PXFMR</t>
  </si>
  <si>
    <t>Rsec</t>
  </si>
  <si>
    <t>Psec</t>
  </si>
  <si>
    <t>Iout</t>
  </si>
  <si>
    <t>Rise Time</t>
  </si>
  <si>
    <t>n</t>
  </si>
  <si>
    <t>Duty</t>
  </si>
  <si>
    <t>Frequency</t>
  </si>
  <si>
    <t>N/A^2</t>
  </si>
  <si>
    <t>awgskin</t>
  </si>
  <si>
    <t>skin m</t>
  </si>
  <si>
    <t>Suggested Primary Turns</t>
  </si>
  <si>
    <t>Suggested Secondary Turns</t>
  </si>
  <si>
    <t>Suggested Aux Turns</t>
  </si>
  <si>
    <t>Number of Primary Turns</t>
  </si>
  <si>
    <t>Wire AWG Suggested</t>
  </si>
  <si>
    <t>Thickness of Bobbin</t>
  </si>
  <si>
    <t>SQRT(FswVinminVoutmaxIoutMVout*10^3*IntegralISEC)</t>
  </si>
  <si>
    <t>Power Dissipation for CS Option</t>
  </si>
  <si>
    <t>Fuse Power Loss</t>
  </si>
  <si>
    <t>Number of Secondary Layers</t>
  </si>
  <si>
    <t>Tesla</t>
  </si>
  <si>
    <t>Max Flux Density</t>
  </si>
  <si>
    <t>pcop</t>
  </si>
  <si>
    <t>MuRC</t>
  </si>
  <si>
    <t>Ripple at Min. Vout</t>
  </si>
  <si>
    <t>Ripple at Max Vout</t>
  </si>
  <si>
    <t>Primary Max # of Strands/Wires</t>
  </si>
  <si>
    <t>Secondary Max # of Strands/Wires</t>
  </si>
  <si>
    <t>Window</t>
  </si>
  <si>
    <t>BobbinArea</t>
  </si>
  <si>
    <t>CrossSectionalAreaofWire</t>
  </si>
  <si>
    <t>PriWindFitAWG</t>
  </si>
  <si>
    <t>SecWindFitAWG</t>
  </si>
  <si>
    <t>This accounts for insulation of windings</t>
  </si>
  <si>
    <t>Accounts for tape</t>
  </si>
  <si>
    <t>Tape Allocation</t>
  </si>
  <si>
    <t>RperWind</t>
  </si>
  <si>
    <t>DCR Secondary</t>
  </si>
  <si>
    <t>DCR Primary</t>
  </si>
  <si>
    <t>CircleInCircle</t>
  </si>
  <si>
    <t>%Utilized</t>
  </si>
  <si>
    <t>InsulationSpace</t>
  </si>
  <si>
    <t>%actualWireinSec</t>
  </si>
  <si>
    <t>https://www.furukawa.co.jp/tex-e/en/product/texe_series.html</t>
  </si>
  <si>
    <t>Secondary AWG Chosen</t>
  </si>
  <si>
    <t>Primary AWG Chosen</t>
  </si>
  <si>
    <t>Primary Strands Chosen</t>
  </si>
  <si>
    <t>Secondary Strands Chosen</t>
  </si>
  <si>
    <t>CrossSectionalAreaofWireSec</t>
  </si>
  <si>
    <t>PriWindCh</t>
  </si>
  <si>
    <t>Sec</t>
  </si>
  <si>
    <t>RperWindSec</t>
  </si>
  <si>
    <t>DiameterAWGSec</t>
  </si>
  <si>
    <t>Suggested Max Primary Inductance</t>
  </si>
  <si>
    <t>Driver Current</t>
  </si>
  <si>
    <t>mA</t>
  </si>
  <si>
    <t>Additional VCC Load</t>
  </si>
  <si>
    <t>Boot Cap Ripple</t>
  </si>
  <si>
    <t>ESR Output ECAP (Each)</t>
  </si>
  <si>
    <t>ESR Output Ceramic (Each)</t>
  </si>
  <si>
    <t>Total Allocation</t>
  </si>
  <si>
    <t>Compensation</t>
  </si>
  <si>
    <t>Right Half Plane Zero</t>
  </si>
  <si>
    <t>Optocoupler CTR</t>
  </si>
  <si>
    <t>A/A</t>
  </si>
  <si>
    <t>Internal Current Division Ratio</t>
  </si>
  <si>
    <t>DC Gain</t>
  </si>
  <si>
    <t>Kf</t>
  </si>
  <si>
    <t>V/V</t>
  </si>
  <si>
    <t>DC Gain dB</t>
  </si>
  <si>
    <t>dB</t>
  </si>
  <si>
    <t>Hold Up During Skip</t>
  </si>
  <si>
    <t>Yes</t>
  </si>
  <si>
    <t>No</t>
  </si>
  <si>
    <t>Secondary Side Forward Drop</t>
  </si>
  <si>
    <t>Leakage Estimate</t>
  </si>
  <si>
    <t>Reset Resistor Recommended</t>
  </si>
  <si>
    <t>Number of High Aux Turns (USBPD)</t>
  </si>
  <si>
    <t>Window Allocation Primary</t>
  </si>
  <si>
    <t>Window Allocation Secondary</t>
  </si>
  <si>
    <t>Auxiliary Allocation</t>
  </si>
  <si>
    <t>Vref NCP431</t>
  </si>
  <si>
    <t>Ibias NCP431</t>
  </si>
  <si>
    <t>NCP431 Bias Resistor Max</t>
  </si>
  <si>
    <t>Rpullup Primary</t>
  </si>
  <si>
    <t>Rpulldown Primary</t>
  </si>
  <si>
    <t>RLED</t>
  </si>
  <si>
    <t>Left Half Plane Zero</t>
  </si>
  <si>
    <t>https://www.onsemi.com/pub/Collateral/AN1681-D.PDF</t>
  </si>
  <si>
    <t>Desired Crossover</t>
  </si>
  <si>
    <t>Estimated Crossover</t>
  </si>
  <si>
    <t>Optocoupler Capacitance</t>
  </si>
  <si>
    <t>ModGainDesiredCrossover</t>
  </si>
  <si>
    <t>ModPhaseDesiredCrossover</t>
  </si>
  <si>
    <t>CompNecessaryGain</t>
  </si>
  <si>
    <t>RLED Chosen</t>
  </si>
  <si>
    <t>RLED Recommended</t>
  </si>
  <si>
    <t>CompNecessaryPhase</t>
  </si>
  <si>
    <t>Fpole</t>
  </si>
  <si>
    <t>Fzero</t>
  </si>
  <si>
    <t>https://cbasso.pagesperso-orange.fr/Downloads/Papers/The%20TL431%20in%20loop%20control.pdf</t>
  </si>
  <si>
    <t>Optocoupler Cutoff Frequency</t>
  </si>
  <si>
    <t>CoptoTot</t>
  </si>
  <si>
    <t>RLEDRec</t>
  </si>
  <si>
    <t>RpuEff</t>
  </si>
  <si>
    <t>Rvariable</t>
  </si>
  <si>
    <t>Avariable</t>
  </si>
  <si>
    <t>Bvariable</t>
  </si>
  <si>
    <t>Cvariable</t>
  </si>
  <si>
    <t>Answer1</t>
  </si>
  <si>
    <t>Answer2</t>
  </si>
  <si>
    <t>Gain</t>
  </si>
  <si>
    <t>Deg</t>
  </si>
  <si>
    <t>FinalPhase</t>
  </si>
  <si>
    <t>Estimated Phase</t>
  </si>
  <si>
    <t>NCP431 Bias Resistor Chosen</t>
  </si>
  <si>
    <t>R1</t>
  </si>
  <si>
    <t>C1</t>
  </si>
  <si>
    <t>R2</t>
  </si>
  <si>
    <t>Cap1RecFB</t>
  </si>
  <si>
    <t>Cap2RecFB</t>
  </si>
  <si>
    <t>C2 Chosen</t>
  </si>
  <si>
    <t>C2 Recommended</t>
  </si>
  <si>
    <t>C1 Recommended</t>
  </si>
  <si>
    <t>C1 Chosen</t>
  </si>
  <si>
    <t>Output Voltage for FB Design</t>
  </si>
  <si>
    <t>R1 Suggested</t>
  </si>
  <si>
    <t>R1 Chosen</t>
  </si>
  <si>
    <t>Rlower Suggested</t>
  </si>
  <si>
    <t>Rlower Chosen</t>
  </si>
  <si>
    <t>Released to Web</t>
  </si>
  <si>
    <t>Rev. 0</t>
  </si>
  <si>
    <t>Revision</t>
  </si>
  <si>
    <t>Update Notes</t>
  </si>
  <si>
    <t>VinMinDC</t>
  </si>
  <si>
    <t>VinNomDC</t>
  </si>
  <si>
    <t>VinMaxDC</t>
  </si>
  <si>
    <t>Volts (AC)</t>
  </si>
  <si>
    <t>Power Factor</t>
  </si>
  <si>
    <t>PF</t>
  </si>
  <si>
    <t>Input Frequency Min</t>
  </si>
  <si>
    <t>Input Frequency Max</t>
  </si>
  <si>
    <t>Input Frequency Nominal</t>
  </si>
  <si>
    <t xml:space="preserve">Bridge Rectifier </t>
  </si>
  <si>
    <t>Forward Voltage Bridge</t>
  </si>
  <si>
    <t>A</t>
  </si>
  <si>
    <t>Bridge Derating</t>
  </si>
  <si>
    <t>Reverse Voltage Min Recommended</t>
  </si>
  <si>
    <t>Bridge Current Min Recommended</t>
  </si>
  <si>
    <t>IinRMSMax</t>
  </si>
  <si>
    <t>IinPeakMax</t>
  </si>
  <si>
    <t>IinAVGMax</t>
  </si>
  <si>
    <t>Thermal Resistance Junction Bridge</t>
  </si>
  <si>
    <t>Max Junction Temp</t>
  </si>
  <si>
    <t>Reverse Voltage Chosen</t>
  </si>
  <si>
    <t>Bridge Current Chosen</t>
  </si>
  <si>
    <t>Power Loss Bridge</t>
  </si>
  <si>
    <t>Temperature of Bridge</t>
  </si>
  <si>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C/W</t>
    </r>
  </si>
  <si>
    <t>°C</t>
  </si>
  <si>
    <t>RMSTot</t>
  </si>
  <si>
    <t>IdPeak</t>
  </si>
  <si>
    <t>Tconduct</t>
  </si>
  <si>
    <t>Pbridge</t>
  </si>
  <si>
    <t>Tbridge</t>
  </si>
  <si>
    <t>Recommended Bulk Capacitance</t>
  </si>
  <si>
    <t>Bulk Capacitance Chosen</t>
  </si>
  <si>
    <t>Bulk Voltage Droop Spec</t>
  </si>
  <si>
    <t>HV Diode Derate</t>
  </si>
  <si>
    <t>HV Diode Rating Min</t>
  </si>
  <si>
    <t>Bridge Rectifier Loss</t>
  </si>
  <si>
    <t>Worst Case Losses</t>
  </si>
  <si>
    <t>Number of Bridge Rectifiers</t>
  </si>
  <si>
    <t>Bridge Number</t>
  </si>
  <si>
    <t>High Voltage Resistor 2 Rec.</t>
  </si>
  <si>
    <t>High Voltage Resistor 2 Final Value</t>
  </si>
  <si>
    <t>Compensation for Fixed Vout &lt;36V - USBPD will depend on USBPD Controller specifications.</t>
  </si>
  <si>
    <t>HVResSum</t>
  </si>
  <si>
    <t>Minimum Hold Up Time</t>
  </si>
  <si>
    <t>RHV2</t>
  </si>
  <si>
    <t>Bridge</t>
  </si>
  <si>
    <t>RATHb With Zener Rec.</t>
  </si>
  <si>
    <t>RATHb With Zener Chosen</t>
  </si>
  <si>
    <t>RATH With Zener Rec.</t>
  </si>
  <si>
    <t>RATH With Zener Chosen</t>
  </si>
  <si>
    <t>RATHb Without Zener Rec.</t>
  </si>
  <si>
    <t>RATHb Without Zener Chosen</t>
  </si>
  <si>
    <t>RATH Without Zener Rec.</t>
  </si>
  <si>
    <t>RATH Without Zener Chosen</t>
  </si>
  <si>
    <t>Rev. 1</t>
  </si>
  <si>
    <t>Additional comments surrounding transition subcircuit added. Added diagram next to transition values. Reworked transition output values for better clarity.</t>
  </si>
  <si>
    <t>RDTHb Rec.</t>
  </si>
  <si>
    <t>RDTHb Chosen</t>
  </si>
  <si>
    <t>RDTH Rec.</t>
  </si>
  <si>
    <t>RDTH Chosen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</si>
</sst>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0" fillId="0" borderId="0" xfId="1" applyNumberFormat="1" applyFont="1"/>
    <xf numFmtId="0" fontId="0" fillId="0" borderId="0" xfId="0" applyFill="1"/>
    <xf numFmtId="10" fontId="0" fillId="0" borderId="0" xfId="1" applyNumberFormat="1" applyFont="1" applyFill="1"/>
    <xf numFmtId="0" fontId="0" fillId="4" borderId="0" xfId="0" applyFill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9" fontId="0" fillId="2" borderId="1" xfId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0" fontId="0" fillId="3" borderId="1" xfId="1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6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2" fillId="0" borderId="0" xfId="0" applyFont="1" applyBorder="1" applyAlignment="1"/>
    <xf numFmtId="0" fontId="0" fillId="2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/>
    <xf numFmtId="0" fontId="0" fillId="2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0" xfId="0" applyFill="1" applyBorder="1" applyAlignment="1">
      <alignment horizontal="center"/>
    </xf>
    <xf numFmtId="9" fontId="0" fillId="2" borderId="10" xfId="1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3" borderId="10" xfId="0" applyNumberFormat="1" applyFill="1" applyBorder="1" applyAlignment="1">
      <alignment horizontal="center"/>
    </xf>
    <xf numFmtId="165" fontId="0" fillId="3" borderId="10" xfId="0" applyNumberForma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3" borderId="10" xfId="1" applyNumberFormat="1" applyFon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1" xfId="0" applyBorder="1"/>
    <xf numFmtId="9" fontId="0" fillId="0" borderId="0" xfId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66" fontId="0" fillId="3" borderId="2" xfId="0" applyNumberFormat="1" applyFill="1" applyBorder="1" applyAlignment="1">
      <alignment horizontal="center"/>
    </xf>
    <xf numFmtId="9" fontId="0" fillId="4" borderId="3" xfId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165" fontId="0" fillId="3" borderId="25" xfId="0" applyNumberFormat="1" applyFill="1" applyBorder="1" applyAlignment="1">
      <alignment horizontal="center"/>
    </xf>
    <xf numFmtId="9" fontId="0" fillId="2" borderId="10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5" xfId="0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1" fontId="0" fillId="3" borderId="1" xfId="1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3" xfId="0" applyBorder="1"/>
    <xf numFmtId="0" fontId="0" fillId="2" borderId="31" xfId="0" applyFill="1" applyBorder="1"/>
    <xf numFmtId="0" fontId="0" fillId="2" borderId="33" xfId="0" applyFill="1" applyBorder="1"/>
    <xf numFmtId="0" fontId="0" fillId="2" borderId="32" xfId="0" applyFill="1" applyBorder="1"/>
    <xf numFmtId="9" fontId="0" fillId="0" borderId="0" xfId="1" applyFont="1"/>
    <xf numFmtId="0" fontId="5" fillId="0" borderId="0" xfId="2"/>
    <xf numFmtId="9" fontId="0" fillId="3" borderId="1" xfId="1" applyNumberFormat="1" applyFon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65" fontId="0" fillId="3" borderId="1" xfId="1" applyNumberFormat="1" applyFont="1" applyFill="1" applyBorder="1" applyAlignment="1">
      <alignment horizontal="center"/>
    </xf>
    <xf numFmtId="0" fontId="0" fillId="0" borderId="21" xfId="0" applyBorder="1"/>
    <xf numFmtId="0" fontId="0" fillId="2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2" xfId="0" applyBorder="1"/>
    <xf numFmtId="0" fontId="5" fillId="0" borderId="0" xfId="2" applyAlignment="1">
      <alignment horizontal="center"/>
    </xf>
    <xf numFmtId="2" fontId="0" fillId="3" borderId="10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0" fillId="3" borderId="10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0" xfId="1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165" fontId="0" fillId="0" borderId="0" xfId="0" applyNumberFormat="1"/>
    <xf numFmtId="2" fontId="0" fillId="0" borderId="0" xfId="0" applyNumberFormat="1"/>
    <xf numFmtId="9" fontId="0" fillId="2" borderId="10" xfId="1" applyFont="1" applyFill="1" applyBorder="1" applyAlignment="1">
      <alignment horizontal="center"/>
    </xf>
    <xf numFmtId="165" fontId="0" fillId="0" borderId="1" xfId="0" applyNumberFormat="1" applyBorder="1"/>
    <xf numFmtId="2" fontId="0" fillId="0" borderId="1" xfId="0" applyNumberFormat="1" applyBorder="1"/>
    <xf numFmtId="2" fontId="0" fillId="3" borderId="2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0" borderId="37" xfId="0" applyBorder="1"/>
    <xf numFmtId="0" fontId="0" fillId="0" borderId="12" xfId="0" applyBorder="1"/>
    <xf numFmtId="0" fontId="0" fillId="0" borderId="2" xfId="0" applyBorder="1"/>
    <xf numFmtId="0" fontId="0" fillId="2" borderId="38" xfId="0" applyFill="1" applyBorder="1"/>
    <xf numFmtId="0" fontId="0" fillId="0" borderId="39" xfId="0" applyBorder="1"/>
    <xf numFmtId="0" fontId="0" fillId="0" borderId="40" xfId="0" applyBorder="1"/>
    <xf numFmtId="0" fontId="0" fillId="0" borderId="13" xfId="0" applyBorder="1"/>
    <xf numFmtId="0" fontId="0" fillId="0" borderId="40" xfId="0" applyFill="1" applyBorder="1"/>
    <xf numFmtId="0" fontId="0" fillId="0" borderId="37" xfId="0" applyFill="1" applyBorder="1"/>
    <xf numFmtId="0" fontId="2" fillId="5" borderId="14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5" borderId="2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4" borderId="34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0" fontId="2" fillId="4" borderId="36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32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0" applyAlignment="1">
      <alignment wrapText="1"/>
    </xf>
  </cellXfs>
  <cellStyles count="3">
    <cellStyle name="Hyperlink" xfId="2" builtinId="8"/>
    <cellStyle name="Normal" xfId="0" builtinId="0"/>
    <cellStyle name="Percent" xfId="1" builtinId="5"/>
  </cellStyles>
  <dxfs count="5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 DtoA</a:t>
            </a:r>
            <a:r>
              <a:rPr lang="en-US" baseline="0"/>
              <a:t> </a:t>
            </a:r>
            <a:r>
              <a:rPr lang="en-US"/>
              <a:t>Transitions Points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With Zener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Calculations'!$G$135:$G$235</c:f>
              <c:numCache>
                <c:formatCode>General</c:formatCode>
                <c:ptCount val="101"/>
                <c:pt idx="0">
                  <c:v>5</c:v>
                </c:pt>
                <c:pt idx="1">
                  <c:v>5.15</c:v>
                </c:pt>
                <c:pt idx="2">
                  <c:v>5.3</c:v>
                </c:pt>
                <c:pt idx="3">
                  <c:v>5.45</c:v>
                </c:pt>
                <c:pt idx="4">
                  <c:v>5.6</c:v>
                </c:pt>
                <c:pt idx="5">
                  <c:v>5.75</c:v>
                </c:pt>
                <c:pt idx="6">
                  <c:v>5.9</c:v>
                </c:pt>
                <c:pt idx="7">
                  <c:v>6.05</c:v>
                </c:pt>
                <c:pt idx="8">
                  <c:v>6.2</c:v>
                </c:pt>
                <c:pt idx="9">
                  <c:v>6.35</c:v>
                </c:pt>
                <c:pt idx="10">
                  <c:v>6.5</c:v>
                </c:pt>
                <c:pt idx="11">
                  <c:v>6.65</c:v>
                </c:pt>
                <c:pt idx="12">
                  <c:v>6.8</c:v>
                </c:pt>
                <c:pt idx="13">
                  <c:v>6.95</c:v>
                </c:pt>
                <c:pt idx="14">
                  <c:v>7.1</c:v>
                </c:pt>
                <c:pt idx="15">
                  <c:v>7.25</c:v>
                </c:pt>
                <c:pt idx="16">
                  <c:v>7.4</c:v>
                </c:pt>
                <c:pt idx="17">
                  <c:v>7.5500000000000007</c:v>
                </c:pt>
                <c:pt idx="18">
                  <c:v>7.6999999999999993</c:v>
                </c:pt>
                <c:pt idx="19">
                  <c:v>7.85</c:v>
                </c:pt>
                <c:pt idx="20">
                  <c:v>8</c:v>
                </c:pt>
                <c:pt idx="21">
                  <c:v>8.15</c:v>
                </c:pt>
                <c:pt idx="22">
                  <c:v>8.3000000000000007</c:v>
                </c:pt>
                <c:pt idx="23">
                  <c:v>8.4499999999999993</c:v>
                </c:pt>
                <c:pt idx="24">
                  <c:v>8.6</c:v>
                </c:pt>
                <c:pt idx="25">
                  <c:v>8.75</c:v>
                </c:pt>
                <c:pt idx="26">
                  <c:v>8.9</c:v>
                </c:pt>
                <c:pt idx="27">
                  <c:v>9.0500000000000007</c:v>
                </c:pt>
                <c:pt idx="28">
                  <c:v>9.1999999999999993</c:v>
                </c:pt>
                <c:pt idx="29">
                  <c:v>9.35</c:v>
                </c:pt>
                <c:pt idx="30">
                  <c:v>9.5</c:v>
                </c:pt>
                <c:pt idx="31">
                  <c:v>9.65</c:v>
                </c:pt>
                <c:pt idx="32">
                  <c:v>9.8000000000000007</c:v>
                </c:pt>
                <c:pt idx="33">
                  <c:v>9.9499999999999993</c:v>
                </c:pt>
                <c:pt idx="34">
                  <c:v>10.100000000000001</c:v>
                </c:pt>
                <c:pt idx="35">
                  <c:v>10.25</c:v>
                </c:pt>
                <c:pt idx="36">
                  <c:v>10.399999999999999</c:v>
                </c:pt>
                <c:pt idx="37">
                  <c:v>10.55</c:v>
                </c:pt>
                <c:pt idx="38">
                  <c:v>10.7</c:v>
                </c:pt>
                <c:pt idx="39">
                  <c:v>10.850000000000001</c:v>
                </c:pt>
                <c:pt idx="40">
                  <c:v>11</c:v>
                </c:pt>
                <c:pt idx="41">
                  <c:v>11.149999999999999</c:v>
                </c:pt>
                <c:pt idx="42">
                  <c:v>11.3</c:v>
                </c:pt>
                <c:pt idx="43">
                  <c:v>11.45</c:v>
                </c:pt>
                <c:pt idx="44">
                  <c:v>11.6</c:v>
                </c:pt>
                <c:pt idx="45">
                  <c:v>11.75</c:v>
                </c:pt>
                <c:pt idx="46">
                  <c:v>11.9</c:v>
                </c:pt>
                <c:pt idx="47">
                  <c:v>12.05</c:v>
                </c:pt>
                <c:pt idx="48">
                  <c:v>12.2</c:v>
                </c:pt>
                <c:pt idx="49">
                  <c:v>12.35</c:v>
                </c:pt>
                <c:pt idx="50">
                  <c:v>12.5</c:v>
                </c:pt>
                <c:pt idx="51">
                  <c:v>12.65</c:v>
                </c:pt>
                <c:pt idx="52">
                  <c:v>12.8</c:v>
                </c:pt>
                <c:pt idx="53">
                  <c:v>12.95</c:v>
                </c:pt>
                <c:pt idx="54">
                  <c:v>13.100000000000001</c:v>
                </c:pt>
                <c:pt idx="55">
                  <c:v>13.25</c:v>
                </c:pt>
                <c:pt idx="56">
                  <c:v>13.4</c:v>
                </c:pt>
                <c:pt idx="57">
                  <c:v>13.549999999999999</c:v>
                </c:pt>
                <c:pt idx="58">
                  <c:v>13.7</c:v>
                </c:pt>
                <c:pt idx="59">
                  <c:v>13.85</c:v>
                </c:pt>
                <c:pt idx="60">
                  <c:v>14</c:v>
                </c:pt>
                <c:pt idx="61">
                  <c:v>14.15</c:v>
                </c:pt>
                <c:pt idx="62">
                  <c:v>14.3</c:v>
                </c:pt>
                <c:pt idx="63">
                  <c:v>14.450000000000015</c:v>
                </c:pt>
                <c:pt idx="64">
                  <c:v>14.600000000000016</c:v>
                </c:pt>
                <c:pt idx="65">
                  <c:v>14.750000000000016</c:v>
                </c:pt>
                <c:pt idx="66">
                  <c:v>14.900000000000016</c:v>
                </c:pt>
                <c:pt idx="67">
                  <c:v>15.050000000000015</c:v>
                </c:pt>
                <c:pt idx="68">
                  <c:v>15.200000000000015</c:v>
                </c:pt>
                <c:pt idx="69">
                  <c:v>15.350000000000014</c:v>
                </c:pt>
                <c:pt idx="70">
                  <c:v>15.500000000000014</c:v>
                </c:pt>
                <c:pt idx="71">
                  <c:v>15.650000000000015</c:v>
                </c:pt>
                <c:pt idx="72">
                  <c:v>15.800000000000015</c:v>
                </c:pt>
                <c:pt idx="73">
                  <c:v>15.950000000000015</c:v>
                </c:pt>
                <c:pt idx="74">
                  <c:v>16.100000000000016</c:v>
                </c:pt>
                <c:pt idx="75">
                  <c:v>16.250000000000014</c:v>
                </c:pt>
                <c:pt idx="76">
                  <c:v>16.400000000000013</c:v>
                </c:pt>
                <c:pt idx="77">
                  <c:v>16.550000000000015</c:v>
                </c:pt>
                <c:pt idx="78">
                  <c:v>16.700000000000017</c:v>
                </c:pt>
                <c:pt idx="79">
                  <c:v>16.850000000000016</c:v>
                </c:pt>
                <c:pt idx="80">
                  <c:v>17.000000000000014</c:v>
                </c:pt>
                <c:pt idx="81">
                  <c:v>17.150000000000016</c:v>
                </c:pt>
                <c:pt idx="82">
                  <c:v>17.300000000000015</c:v>
                </c:pt>
                <c:pt idx="83">
                  <c:v>17.450000000000014</c:v>
                </c:pt>
                <c:pt idx="84">
                  <c:v>17.600000000000016</c:v>
                </c:pt>
                <c:pt idx="85">
                  <c:v>17.750000000000014</c:v>
                </c:pt>
                <c:pt idx="86">
                  <c:v>17.900000000000013</c:v>
                </c:pt>
                <c:pt idx="87">
                  <c:v>18.050000000000015</c:v>
                </c:pt>
                <c:pt idx="88">
                  <c:v>18.200000000000017</c:v>
                </c:pt>
                <c:pt idx="89">
                  <c:v>18.350000000000016</c:v>
                </c:pt>
                <c:pt idx="90">
                  <c:v>18.500000000000014</c:v>
                </c:pt>
                <c:pt idx="91">
                  <c:v>18.650000000000016</c:v>
                </c:pt>
                <c:pt idx="92">
                  <c:v>18.800000000000015</c:v>
                </c:pt>
                <c:pt idx="93">
                  <c:v>18.950000000000017</c:v>
                </c:pt>
                <c:pt idx="94">
                  <c:v>19.100000000000016</c:v>
                </c:pt>
                <c:pt idx="95">
                  <c:v>19.250000000000014</c:v>
                </c:pt>
                <c:pt idx="96">
                  <c:v>19.400000000000013</c:v>
                </c:pt>
                <c:pt idx="97">
                  <c:v>19.550000000000015</c:v>
                </c:pt>
                <c:pt idx="98">
                  <c:v>19.700000000000017</c:v>
                </c:pt>
                <c:pt idx="99">
                  <c:v>19.850000000000016</c:v>
                </c:pt>
                <c:pt idx="100">
                  <c:v>20</c:v>
                </c:pt>
              </c:numCache>
            </c:numRef>
          </c:xVal>
          <c:yVal>
            <c:numRef>
              <c:f>'Additional Calculations'!$J$135:$J$235</c:f>
              <c:numCache>
                <c:formatCode>General</c:formatCode>
                <c:ptCount val="101"/>
                <c:pt idx="0">
                  <c:v>0.86400000000000021</c:v>
                </c:pt>
                <c:pt idx="1">
                  <c:v>0.83883495145631082</c:v>
                </c:pt>
                <c:pt idx="2">
                  <c:v>0.81509433962264177</c:v>
                </c:pt>
                <c:pt idx="3">
                  <c:v>0.79266055045871575</c:v>
                </c:pt>
                <c:pt idx="4">
                  <c:v>0.77142857142857169</c:v>
                </c:pt>
                <c:pt idx="5">
                  <c:v>0.75130434782608713</c:v>
                </c:pt>
                <c:pt idx="6">
                  <c:v>0.73220338983050859</c:v>
                </c:pt>
                <c:pt idx="7">
                  <c:v>0.7140495867768597</c:v>
                </c:pt>
                <c:pt idx="8">
                  <c:v>0.69677419354838721</c:v>
                </c:pt>
                <c:pt idx="9">
                  <c:v>0.68031496062992147</c:v>
                </c:pt>
                <c:pt idx="10">
                  <c:v>0.66461538461538483</c:v>
                </c:pt>
                <c:pt idx="11">
                  <c:v>0.6496240601503761</c:v>
                </c:pt>
                <c:pt idx="12">
                  <c:v>0.63529411764705901</c:v>
                </c:pt>
                <c:pt idx="13">
                  <c:v>0.62158273381294982</c:v>
                </c:pt>
                <c:pt idx="14">
                  <c:v>0.6084507042253523</c:v>
                </c:pt>
                <c:pt idx="15">
                  <c:v>0.59586206896551741</c:v>
                </c:pt>
                <c:pt idx="16">
                  <c:v>0.58378378378378393</c:v>
                </c:pt>
                <c:pt idx="17">
                  <c:v>0.57218543046357628</c:v>
                </c:pt>
                <c:pt idx="18">
                  <c:v>0.56103896103896123</c:v>
                </c:pt>
                <c:pt idx="19">
                  <c:v>0.55031847133757983</c:v>
                </c:pt>
                <c:pt idx="20">
                  <c:v>0.54000000000000015</c:v>
                </c:pt>
                <c:pt idx="21">
                  <c:v>0.53006134969325169</c:v>
                </c:pt>
                <c:pt idx="22">
                  <c:v>0.52048192771084345</c:v>
                </c:pt>
                <c:pt idx="23">
                  <c:v>0.51124260355029605</c:v>
                </c:pt>
                <c:pt idx="24">
                  <c:v>0.502325581395349</c:v>
                </c:pt>
                <c:pt idx="25">
                  <c:v>0.49371428571428583</c:v>
                </c:pt>
                <c:pt idx="26">
                  <c:v>0.4853932584269664</c:v>
                </c:pt>
                <c:pt idx="27">
                  <c:v>0.47734806629834264</c:v>
                </c:pt>
                <c:pt idx="28">
                  <c:v>0.46956521739130452</c:v>
                </c:pt>
                <c:pt idx="29">
                  <c:v>0.4620320855614975</c:v>
                </c:pt>
                <c:pt idx="30">
                  <c:v>0.45473684210526327</c:v>
                </c:pt>
                <c:pt idx="31">
                  <c:v>0.44766839378238354</c:v>
                </c:pt>
                <c:pt idx="32">
                  <c:v>0.44081632653061231</c:v>
                </c:pt>
                <c:pt idx="33">
                  <c:v>0.43417085427135693</c:v>
                </c:pt>
                <c:pt idx="34">
                  <c:v>0.42772277227722777</c:v>
                </c:pt>
                <c:pt idx="35">
                  <c:v>0.54134634146341476</c:v>
                </c:pt>
                <c:pt idx="36">
                  <c:v>0.53353846153846174</c:v>
                </c:pt>
                <c:pt idx="37">
                  <c:v>0.52595260663507126</c:v>
                </c:pt>
                <c:pt idx="38">
                  <c:v>0.51857943925233663</c:v>
                </c:pt>
                <c:pt idx="39">
                  <c:v>0.51141013824884807</c:v>
                </c:pt>
                <c:pt idx="40">
                  <c:v>0.50443636363636379</c:v>
                </c:pt>
                <c:pt idx="41">
                  <c:v>0.49765022421524685</c:v>
                </c:pt>
                <c:pt idx="42">
                  <c:v>0.61338053097345135</c:v>
                </c:pt>
                <c:pt idx="43">
                  <c:v>0.60534497816593891</c:v>
                </c:pt>
                <c:pt idx="44">
                  <c:v>0.59751724137931039</c:v>
                </c:pt>
                <c:pt idx="45">
                  <c:v>0.58988936170212769</c:v>
                </c:pt>
                <c:pt idx="46">
                  <c:v>0.58245378151260507</c:v>
                </c:pt>
                <c:pt idx="47">
                  <c:v>0.57520331950207471</c:v>
                </c:pt>
                <c:pt idx="48">
                  <c:v>0.56813114754098371</c:v>
                </c:pt>
                <c:pt idx="49">
                  <c:v>0.56123076923076931</c:v>
                </c:pt>
                <c:pt idx="50">
                  <c:v>0.55449599999999999</c:v>
                </c:pt>
                <c:pt idx="51">
                  <c:v>0.66934387351778657</c:v>
                </c:pt>
                <c:pt idx="52">
                  <c:v>0.66149999999999998</c:v>
                </c:pt>
                <c:pt idx="53">
                  <c:v>0.65383783783783789</c:v>
                </c:pt>
                <c:pt idx="54">
                  <c:v>0.64635114503816782</c:v>
                </c:pt>
                <c:pt idx="55">
                  <c:v>0.63903396226415099</c:v>
                </c:pt>
                <c:pt idx="56">
                  <c:v>0.63188059701492538</c:v>
                </c:pt>
                <c:pt idx="57">
                  <c:v>0.62488560885608857</c:v>
                </c:pt>
                <c:pt idx="58">
                  <c:v>0.61804379562043799</c:v>
                </c:pt>
                <c:pt idx="59">
                  <c:v>0.61135018050541523</c:v>
                </c:pt>
                <c:pt idx="60">
                  <c:v>0.6048</c:v>
                </c:pt>
                <c:pt idx="61">
                  <c:v>0.59838869257950533</c:v>
                </c:pt>
                <c:pt idx="62">
                  <c:v>0.71026573426573436</c:v>
                </c:pt>
                <c:pt idx="63">
                  <c:v>0.70289273356401327</c:v>
                </c:pt>
                <c:pt idx="64">
                  <c:v>0.69567123287671173</c:v>
                </c:pt>
                <c:pt idx="65">
                  <c:v>0.68859661016949092</c:v>
                </c:pt>
                <c:pt idx="66">
                  <c:v>0.68166442953020079</c:v>
                </c:pt>
                <c:pt idx="67">
                  <c:v>0.67487043189368723</c:v>
                </c:pt>
                <c:pt idx="68">
                  <c:v>0.66821052631578892</c:v>
                </c:pt>
                <c:pt idx="69">
                  <c:v>0.66168078175895717</c:v>
                </c:pt>
                <c:pt idx="70">
                  <c:v>0.6552774193548383</c:v>
                </c:pt>
                <c:pt idx="71">
                  <c:v>0.64899680511182067</c:v>
                </c:pt>
                <c:pt idx="72">
                  <c:v>0.64283544303797424</c:v>
                </c:pt>
                <c:pt idx="73">
                  <c:v>0.75235109717868276</c:v>
                </c:pt>
                <c:pt idx="74">
                  <c:v>0.74534161490683171</c:v>
                </c:pt>
                <c:pt idx="75">
                  <c:v>0.73846153846153795</c:v>
                </c:pt>
                <c:pt idx="76">
                  <c:v>0.73170731707317027</c:v>
                </c:pt>
                <c:pt idx="77">
                  <c:v>0.72507552870090575</c:v>
                </c:pt>
                <c:pt idx="78">
                  <c:v>0.71856287425149634</c:v>
                </c:pt>
                <c:pt idx="79">
                  <c:v>0.71216617210682442</c:v>
                </c:pt>
                <c:pt idx="80">
                  <c:v>0.70588235294117596</c:v>
                </c:pt>
                <c:pt idx="81">
                  <c:v>0.69970845481049504</c:v>
                </c:pt>
                <c:pt idx="82">
                  <c:v>0.69364161849710937</c:v>
                </c:pt>
                <c:pt idx="83">
                  <c:v>0.6876790830945555</c:v>
                </c:pt>
                <c:pt idx="84">
                  <c:v>0.68181818181818132</c:v>
                </c:pt>
                <c:pt idx="85">
                  <c:v>0.78855211267605596</c:v>
                </c:pt>
                <c:pt idx="86">
                  <c:v>0.78194413407821195</c:v>
                </c:pt>
                <c:pt idx="87">
                  <c:v>0.77544598337950099</c:v>
                </c:pt>
                <c:pt idx="88">
                  <c:v>0.76905494505494454</c:v>
                </c:pt>
                <c:pt idx="89">
                  <c:v>0.76276839237057181</c:v>
                </c:pt>
                <c:pt idx="90">
                  <c:v>0.75658378378378344</c:v>
                </c:pt>
                <c:pt idx="91">
                  <c:v>0.75049865951742578</c:v>
                </c:pt>
                <c:pt idx="92">
                  <c:v>0.74451063829787201</c:v>
                </c:pt>
                <c:pt idx="93">
                  <c:v>0.73861741424802063</c:v>
                </c:pt>
                <c:pt idx="94">
                  <c:v>0.7328167539267012</c:v>
                </c:pt>
                <c:pt idx="95">
                  <c:v>0.72710649350649315</c:v>
                </c:pt>
                <c:pt idx="96">
                  <c:v>0.72148453608247398</c:v>
                </c:pt>
                <c:pt idx="97">
                  <c:v>0.71594884910485901</c:v>
                </c:pt>
                <c:pt idx="98">
                  <c:v>0.71049746192893359</c:v>
                </c:pt>
                <c:pt idx="99">
                  <c:v>0.70512846347607017</c:v>
                </c:pt>
                <c:pt idx="100">
                  <c:v>0.80735999999999986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FA-435C-867E-3481A8E2C94A}"/>
            </c:ext>
          </c:extLst>
        </c:ser>
        <c:ser>
          <c:idx val="1"/>
          <c:order val="1"/>
          <c:tx>
            <c:v>Without Zener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Calculations'!$G$135:$G$235</c:f>
              <c:numCache>
                <c:formatCode>General</c:formatCode>
                <c:ptCount val="101"/>
                <c:pt idx="0">
                  <c:v>5</c:v>
                </c:pt>
                <c:pt idx="1">
                  <c:v>5.15</c:v>
                </c:pt>
                <c:pt idx="2">
                  <c:v>5.3</c:v>
                </c:pt>
                <c:pt idx="3">
                  <c:v>5.45</c:v>
                </c:pt>
                <c:pt idx="4">
                  <c:v>5.6</c:v>
                </c:pt>
                <c:pt idx="5">
                  <c:v>5.75</c:v>
                </c:pt>
                <c:pt idx="6">
                  <c:v>5.9</c:v>
                </c:pt>
                <c:pt idx="7">
                  <c:v>6.05</c:v>
                </c:pt>
                <c:pt idx="8">
                  <c:v>6.2</c:v>
                </c:pt>
                <c:pt idx="9">
                  <c:v>6.35</c:v>
                </c:pt>
                <c:pt idx="10">
                  <c:v>6.5</c:v>
                </c:pt>
                <c:pt idx="11">
                  <c:v>6.65</c:v>
                </c:pt>
                <c:pt idx="12">
                  <c:v>6.8</c:v>
                </c:pt>
                <c:pt idx="13">
                  <c:v>6.95</c:v>
                </c:pt>
                <c:pt idx="14">
                  <c:v>7.1</c:v>
                </c:pt>
                <c:pt idx="15">
                  <c:v>7.25</c:v>
                </c:pt>
                <c:pt idx="16">
                  <c:v>7.4</c:v>
                </c:pt>
                <c:pt idx="17">
                  <c:v>7.5500000000000007</c:v>
                </c:pt>
                <c:pt idx="18">
                  <c:v>7.6999999999999993</c:v>
                </c:pt>
                <c:pt idx="19">
                  <c:v>7.85</c:v>
                </c:pt>
                <c:pt idx="20">
                  <c:v>8</c:v>
                </c:pt>
                <c:pt idx="21">
                  <c:v>8.15</c:v>
                </c:pt>
                <c:pt idx="22">
                  <c:v>8.3000000000000007</c:v>
                </c:pt>
                <c:pt idx="23">
                  <c:v>8.4499999999999993</c:v>
                </c:pt>
                <c:pt idx="24">
                  <c:v>8.6</c:v>
                </c:pt>
                <c:pt idx="25">
                  <c:v>8.75</c:v>
                </c:pt>
                <c:pt idx="26">
                  <c:v>8.9</c:v>
                </c:pt>
                <c:pt idx="27">
                  <c:v>9.0500000000000007</c:v>
                </c:pt>
                <c:pt idx="28">
                  <c:v>9.1999999999999993</c:v>
                </c:pt>
                <c:pt idx="29">
                  <c:v>9.35</c:v>
                </c:pt>
                <c:pt idx="30">
                  <c:v>9.5</c:v>
                </c:pt>
                <c:pt idx="31">
                  <c:v>9.65</c:v>
                </c:pt>
                <c:pt idx="32">
                  <c:v>9.8000000000000007</c:v>
                </c:pt>
                <c:pt idx="33">
                  <c:v>9.9499999999999993</c:v>
                </c:pt>
                <c:pt idx="34">
                  <c:v>10.100000000000001</c:v>
                </c:pt>
                <c:pt idx="35">
                  <c:v>10.25</c:v>
                </c:pt>
                <c:pt idx="36">
                  <c:v>10.399999999999999</c:v>
                </c:pt>
                <c:pt idx="37">
                  <c:v>10.55</c:v>
                </c:pt>
                <c:pt idx="38">
                  <c:v>10.7</c:v>
                </c:pt>
                <c:pt idx="39">
                  <c:v>10.850000000000001</c:v>
                </c:pt>
                <c:pt idx="40">
                  <c:v>11</c:v>
                </c:pt>
                <c:pt idx="41">
                  <c:v>11.149999999999999</c:v>
                </c:pt>
                <c:pt idx="42">
                  <c:v>11.3</c:v>
                </c:pt>
                <c:pt idx="43">
                  <c:v>11.45</c:v>
                </c:pt>
                <c:pt idx="44">
                  <c:v>11.6</c:v>
                </c:pt>
                <c:pt idx="45">
                  <c:v>11.75</c:v>
                </c:pt>
                <c:pt idx="46">
                  <c:v>11.9</c:v>
                </c:pt>
                <c:pt idx="47">
                  <c:v>12.05</c:v>
                </c:pt>
                <c:pt idx="48">
                  <c:v>12.2</c:v>
                </c:pt>
                <c:pt idx="49">
                  <c:v>12.35</c:v>
                </c:pt>
                <c:pt idx="50">
                  <c:v>12.5</c:v>
                </c:pt>
                <c:pt idx="51">
                  <c:v>12.65</c:v>
                </c:pt>
                <c:pt idx="52">
                  <c:v>12.8</c:v>
                </c:pt>
                <c:pt idx="53">
                  <c:v>12.95</c:v>
                </c:pt>
                <c:pt idx="54">
                  <c:v>13.100000000000001</c:v>
                </c:pt>
                <c:pt idx="55">
                  <c:v>13.25</c:v>
                </c:pt>
                <c:pt idx="56">
                  <c:v>13.4</c:v>
                </c:pt>
                <c:pt idx="57">
                  <c:v>13.549999999999999</c:v>
                </c:pt>
                <c:pt idx="58">
                  <c:v>13.7</c:v>
                </c:pt>
                <c:pt idx="59">
                  <c:v>13.85</c:v>
                </c:pt>
                <c:pt idx="60">
                  <c:v>14</c:v>
                </c:pt>
                <c:pt idx="61">
                  <c:v>14.15</c:v>
                </c:pt>
                <c:pt idx="62">
                  <c:v>14.3</c:v>
                </c:pt>
                <c:pt idx="63">
                  <c:v>14.450000000000015</c:v>
                </c:pt>
                <c:pt idx="64">
                  <c:v>14.600000000000016</c:v>
                </c:pt>
                <c:pt idx="65">
                  <c:v>14.750000000000016</c:v>
                </c:pt>
                <c:pt idx="66">
                  <c:v>14.900000000000016</c:v>
                </c:pt>
                <c:pt idx="67">
                  <c:v>15.050000000000015</c:v>
                </c:pt>
                <c:pt idx="68">
                  <c:v>15.200000000000015</c:v>
                </c:pt>
                <c:pt idx="69">
                  <c:v>15.350000000000014</c:v>
                </c:pt>
                <c:pt idx="70">
                  <c:v>15.500000000000014</c:v>
                </c:pt>
                <c:pt idx="71">
                  <c:v>15.650000000000015</c:v>
                </c:pt>
                <c:pt idx="72">
                  <c:v>15.800000000000015</c:v>
                </c:pt>
                <c:pt idx="73">
                  <c:v>15.950000000000015</c:v>
                </c:pt>
                <c:pt idx="74">
                  <c:v>16.100000000000016</c:v>
                </c:pt>
                <c:pt idx="75">
                  <c:v>16.250000000000014</c:v>
                </c:pt>
                <c:pt idx="76">
                  <c:v>16.400000000000013</c:v>
                </c:pt>
                <c:pt idx="77">
                  <c:v>16.550000000000015</c:v>
                </c:pt>
                <c:pt idx="78">
                  <c:v>16.700000000000017</c:v>
                </c:pt>
                <c:pt idx="79">
                  <c:v>16.850000000000016</c:v>
                </c:pt>
                <c:pt idx="80">
                  <c:v>17.000000000000014</c:v>
                </c:pt>
                <c:pt idx="81">
                  <c:v>17.150000000000016</c:v>
                </c:pt>
                <c:pt idx="82">
                  <c:v>17.300000000000015</c:v>
                </c:pt>
                <c:pt idx="83">
                  <c:v>17.450000000000014</c:v>
                </c:pt>
                <c:pt idx="84">
                  <c:v>17.600000000000016</c:v>
                </c:pt>
                <c:pt idx="85">
                  <c:v>17.750000000000014</c:v>
                </c:pt>
                <c:pt idx="86">
                  <c:v>17.900000000000013</c:v>
                </c:pt>
                <c:pt idx="87">
                  <c:v>18.050000000000015</c:v>
                </c:pt>
                <c:pt idx="88">
                  <c:v>18.200000000000017</c:v>
                </c:pt>
                <c:pt idx="89">
                  <c:v>18.350000000000016</c:v>
                </c:pt>
                <c:pt idx="90">
                  <c:v>18.500000000000014</c:v>
                </c:pt>
                <c:pt idx="91">
                  <c:v>18.650000000000016</c:v>
                </c:pt>
                <c:pt idx="92">
                  <c:v>18.800000000000015</c:v>
                </c:pt>
                <c:pt idx="93">
                  <c:v>18.950000000000017</c:v>
                </c:pt>
                <c:pt idx="94">
                  <c:v>19.100000000000016</c:v>
                </c:pt>
                <c:pt idx="95">
                  <c:v>19.250000000000014</c:v>
                </c:pt>
                <c:pt idx="96">
                  <c:v>19.400000000000013</c:v>
                </c:pt>
                <c:pt idx="97">
                  <c:v>19.550000000000015</c:v>
                </c:pt>
                <c:pt idx="98">
                  <c:v>19.700000000000017</c:v>
                </c:pt>
                <c:pt idx="99">
                  <c:v>19.850000000000016</c:v>
                </c:pt>
                <c:pt idx="100">
                  <c:v>20</c:v>
                </c:pt>
              </c:numCache>
            </c:numRef>
          </c:xVal>
          <c:yVal>
            <c:numRef>
              <c:f>'Additional Calculations'!$M$135:$M$235</c:f>
              <c:numCache>
                <c:formatCode>General</c:formatCode>
                <c:ptCount val="101"/>
                <c:pt idx="0">
                  <c:v>0.86400000000000021</c:v>
                </c:pt>
                <c:pt idx="1">
                  <c:v>0.83883495145631082</c:v>
                </c:pt>
                <c:pt idx="2">
                  <c:v>0.81509433962264177</c:v>
                </c:pt>
                <c:pt idx="3">
                  <c:v>0.79266055045871575</c:v>
                </c:pt>
                <c:pt idx="4">
                  <c:v>0.77142857142857169</c:v>
                </c:pt>
                <c:pt idx="5">
                  <c:v>0.75130434782608713</c:v>
                </c:pt>
                <c:pt idx="6">
                  <c:v>0.73220338983050859</c:v>
                </c:pt>
                <c:pt idx="7">
                  <c:v>0.7140495867768597</c:v>
                </c:pt>
                <c:pt idx="8">
                  <c:v>0.69677419354838721</c:v>
                </c:pt>
                <c:pt idx="9">
                  <c:v>0.68031496062992147</c:v>
                </c:pt>
                <c:pt idx="10">
                  <c:v>0.66461538461538483</c:v>
                </c:pt>
                <c:pt idx="11">
                  <c:v>0.6496240601503761</c:v>
                </c:pt>
                <c:pt idx="12">
                  <c:v>0.63529411764705901</c:v>
                </c:pt>
                <c:pt idx="13">
                  <c:v>0.62158273381294982</c:v>
                </c:pt>
                <c:pt idx="14">
                  <c:v>0.6084507042253523</c:v>
                </c:pt>
                <c:pt idx="15">
                  <c:v>0.59586206896551741</c:v>
                </c:pt>
                <c:pt idx="16">
                  <c:v>0.58378378378378393</c:v>
                </c:pt>
                <c:pt idx="17">
                  <c:v>0.57218543046357628</c:v>
                </c:pt>
                <c:pt idx="18">
                  <c:v>0.56103896103896123</c:v>
                </c:pt>
                <c:pt idx="19">
                  <c:v>0.55031847133757983</c:v>
                </c:pt>
                <c:pt idx="20">
                  <c:v>0.54000000000000015</c:v>
                </c:pt>
                <c:pt idx="21">
                  <c:v>0.53006134969325169</c:v>
                </c:pt>
                <c:pt idx="22">
                  <c:v>0.52048192771084345</c:v>
                </c:pt>
                <c:pt idx="23">
                  <c:v>0.51124260355029605</c:v>
                </c:pt>
                <c:pt idx="24">
                  <c:v>0.502325581395349</c:v>
                </c:pt>
                <c:pt idx="25">
                  <c:v>0.49371428571428583</c:v>
                </c:pt>
                <c:pt idx="26">
                  <c:v>0.4853932584269664</c:v>
                </c:pt>
                <c:pt idx="27">
                  <c:v>0.47734806629834264</c:v>
                </c:pt>
                <c:pt idx="28">
                  <c:v>0.46956521739130452</c:v>
                </c:pt>
                <c:pt idx="29">
                  <c:v>0.4620320855614975</c:v>
                </c:pt>
                <c:pt idx="30">
                  <c:v>0.45473684210526327</c:v>
                </c:pt>
                <c:pt idx="31">
                  <c:v>0.44766839378238354</c:v>
                </c:pt>
                <c:pt idx="32">
                  <c:v>0.44081632653061231</c:v>
                </c:pt>
                <c:pt idx="33">
                  <c:v>0.43417085427135693</c:v>
                </c:pt>
                <c:pt idx="34">
                  <c:v>0.42772277227722777</c:v>
                </c:pt>
                <c:pt idx="35">
                  <c:v>0.42146341463414644</c:v>
                </c:pt>
                <c:pt idx="36">
                  <c:v>0.41538461538461557</c:v>
                </c:pt>
                <c:pt idx="37">
                  <c:v>0.40947867298578206</c:v>
                </c:pt>
                <c:pt idx="38">
                  <c:v>0.40373831775700947</c:v>
                </c:pt>
                <c:pt idx="39">
                  <c:v>0.39815668202764981</c:v>
                </c:pt>
                <c:pt idx="40">
                  <c:v>0.39272727272727281</c:v>
                </c:pt>
                <c:pt idx="41">
                  <c:v>0.38744394618834094</c:v>
                </c:pt>
                <c:pt idx="42">
                  <c:v>0.38230088495575232</c:v>
                </c:pt>
                <c:pt idx="43">
                  <c:v>0.3772925764192141</c:v>
                </c:pt>
                <c:pt idx="44">
                  <c:v>0.37241379310344841</c:v>
                </c:pt>
                <c:pt idx="45">
                  <c:v>0.36765957446808523</c:v>
                </c:pt>
                <c:pt idx="46">
                  <c:v>0.36302521008403371</c:v>
                </c:pt>
                <c:pt idx="47">
                  <c:v>0.3585062240663901</c:v>
                </c:pt>
                <c:pt idx="48">
                  <c:v>0.3540983606557378</c:v>
                </c:pt>
                <c:pt idx="49">
                  <c:v>0.34979757085020252</c:v>
                </c:pt>
                <c:pt idx="50">
                  <c:v>0.34560000000000007</c:v>
                </c:pt>
                <c:pt idx="51">
                  <c:v>0.34150197628458506</c:v>
                </c:pt>
                <c:pt idx="52">
                  <c:v>0.33750000000000008</c:v>
                </c:pt>
                <c:pt idx="53">
                  <c:v>0.33359073359073371</c:v>
                </c:pt>
                <c:pt idx="54">
                  <c:v>0.32977099236641227</c:v>
                </c:pt>
                <c:pt idx="55">
                  <c:v>0.32603773584905671</c:v>
                </c:pt>
                <c:pt idx="56">
                  <c:v>0.32238805970149259</c:v>
                </c:pt>
                <c:pt idx="57">
                  <c:v>0.31881918819188204</c:v>
                </c:pt>
                <c:pt idx="58">
                  <c:v>0.40502189781021913</c:v>
                </c:pt>
                <c:pt idx="59">
                  <c:v>0.40063537906137198</c:v>
                </c:pt>
                <c:pt idx="60">
                  <c:v>0.39634285714285727</c:v>
                </c:pt>
                <c:pt idx="61">
                  <c:v>0.39214134275618384</c:v>
                </c:pt>
                <c:pt idx="62">
                  <c:v>0.38802797202797212</c:v>
                </c:pt>
                <c:pt idx="63">
                  <c:v>0.38399999999999973</c:v>
                </c:pt>
                <c:pt idx="64">
                  <c:v>0.38005479452054763</c:v>
                </c:pt>
                <c:pt idx="65">
                  <c:v>0.37618983050847427</c:v>
                </c:pt>
                <c:pt idx="66">
                  <c:v>0.37240268456375808</c:v>
                </c:pt>
                <c:pt idx="67">
                  <c:v>0.36869102990033198</c:v>
                </c:pt>
                <c:pt idx="68">
                  <c:v>0.36505263157894713</c:v>
                </c:pt>
                <c:pt idx="69">
                  <c:v>0.36148534201954374</c:v>
                </c:pt>
                <c:pt idx="70">
                  <c:v>0.35798709677419333</c:v>
                </c:pt>
                <c:pt idx="71">
                  <c:v>0.35455591054313079</c:v>
                </c:pt>
                <c:pt idx="72">
                  <c:v>0.35118987341772129</c:v>
                </c:pt>
                <c:pt idx="73">
                  <c:v>0.34788714733542297</c:v>
                </c:pt>
                <c:pt idx="74">
                  <c:v>0.34464596273291903</c:v>
                </c:pt>
                <c:pt idx="75">
                  <c:v>0.3414646153846152</c:v>
                </c:pt>
                <c:pt idx="76">
                  <c:v>0.338341463414634</c:v>
                </c:pt>
                <c:pt idx="77">
                  <c:v>0.33527492447129892</c:v>
                </c:pt>
                <c:pt idx="78">
                  <c:v>0.33226347305389198</c:v>
                </c:pt>
                <c:pt idx="79">
                  <c:v>0.32930563798219564</c:v>
                </c:pt>
                <c:pt idx="80">
                  <c:v>0.40771764705882324</c:v>
                </c:pt>
                <c:pt idx="81">
                  <c:v>0.4041516034985419</c:v>
                </c:pt>
                <c:pt idx="82">
                  <c:v>0.4006473988439303</c:v>
                </c:pt>
                <c:pt idx="83">
                  <c:v>0.39720343839541516</c:v>
                </c:pt>
                <c:pt idx="84">
                  <c:v>0.39381818181818151</c:v>
                </c:pt>
                <c:pt idx="85">
                  <c:v>0.39049014084507011</c:v>
                </c:pt>
                <c:pt idx="86">
                  <c:v>0.3872178770949718</c:v>
                </c:pt>
                <c:pt idx="87">
                  <c:v>0.38399999999999973</c:v>
                </c:pt>
                <c:pt idx="88">
                  <c:v>0.3808351648351645</c:v>
                </c:pt>
                <c:pt idx="89">
                  <c:v>0.37772207084468634</c:v>
                </c:pt>
                <c:pt idx="90">
                  <c:v>0.37465945945945922</c:v>
                </c:pt>
                <c:pt idx="91">
                  <c:v>0.37164611260053587</c:v>
                </c:pt>
                <c:pt idx="92">
                  <c:v>0.36868085106382953</c:v>
                </c:pt>
                <c:pt idx="93">
                  <c:v>0.36576253298153005</c:v>
                </c:pt>
                <c:pt idx="94">
                  <c:v>0.36289005235602068</c:v>
                </c:pt>
                <c:pt idx="95">
                  <c:v>0.36006233766233742</c:v>
                </c:pt>
                <c:pt idx="96">
                  <c:v>0.35727835051546369</c:v>
                </c:pt>
                <c:pt idx="97">
                  <c:v>0.35453708439897674</c:v>
                </c:pt>
                <c:pt idx="98">
                  <c:v>0.35183756345177636</c:v>
                </c:pt>
                <c:pt idx="99">
                  <c:v>0.34917884130982341</c:v>
                </c:pt>
                <c:pt idx="100">
                  <c:v>0.34656000000000003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FA-435C-867E-3481A8E2C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155560"/>
        <c:axId val="388156344"/>
      </c:scatterChart>
      <c:valAx>
        <c:axId val="388155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Output 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6344"/>
        <c:crosses val="autoZero"/>
        <c:crossBetween val="midCat"/>
      </c:valAx>
      <c:valAx>
        <c:axId val="38815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Output Current Transition Point (A)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5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 AtoD</a:t>
            </a:r>
            <a:r>
              <a:rPr lang="en-US" baseline="0"/>
              <a:t> </a:t>
            </a:r>
            <a:r>
              <a:rPr lang="en-US"/>
              <a:t>Transitions Points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Vinmin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Calculations'!$G$135:$G$235</c:f>
              <c:numCache>
                <c:formatCode>General</c:formatCode>
                <c:ptCount val="101"/>
                <c:pt idx="0">
                  <c:v>5</c:v>
                </c:pt>
                <c:pt idx="1">
                  <c:v>5.15</c:v>
                </c:pt>
                <c:pt idx="2">
                  <c:v>5.3</c:v>
                </c:pt>
                <c:pt idx="3">
                  <c:v>5.45</c:v>
                </c:pt>
                <c:pt idx="4">
                  <c:v>5.6</c:v>
                </c:pt>
                <c:pt idx="5">
                  <c:v>5.75</c:v>
                </c:pt>
                <c:pt idx="6">
                  <c:v>5.9</c:v>
                </c:pt>
                <c:pt idx="7">
                  <c:v>6.05</c:v>
                </c:pt>
                <c:pt idx="8">
                  <c:v>6.2</c:v>
                </c:pt>
                <c:pt idx="9">
                  <c:v>6.35</c:v>
                </c:pt>
                <c:pt idx="10">
                  <c:v>6.5</c:v>
                </c:pt>
                <c:pt idx="11">
                  <c:v>6.65</c:v>
                </c:pt>
                <c:pt idx="12">
                  <c:v>6.8</c:v>
                </c:pt>
                <c:pt idx="13">
                  <c:v>6.95</c:v>
                </c:pt>
                <c:pt idx="14">
                  <c:v>7.1</c:v>
                </c:pt>
                <c:pt idx="15">
                  <c:v>7.25</c:v>
                </c:pt>
                <c:pt idx="16">
                  <c:v>7.4</c:v>
                </c:pt>
                <c:pt idx="17">
                  <c:v>7.5500000000000007</c:v>
                </c:pt>
                <c:pt idx="18">
                  <c:v>7.6999999999999993</c:v>
                </c:pt>
                <c:pt idx="19">
                  <c:v>7.85</c:v>
                </c:pt>
                <c:pt idx="20">
                  <c:v>8</c:v>
                </c:pt>
                <c:pt idx="21">
                  <c:v>8.15</c:v>
                </c:pt>
                <c:pt idx="22">
                  <c:v>8.3000000000000007</c:v>
                </c:pt>
                <c:pt idx="23">
                  <c:v>8.4499999999999993</c:v>
                </c:pt>
                <c:pt idx="24">
                  <c:v>8.6</c:v>
                </c:pt>
                <c:pt idx="25">
                  <c:v>8.75</c:v>
                </c:pt>
                <c:pt idx="26">
                  <c:v>8.9</c:v>
                </c:pt>
                <c:pt idx="27">
                  <c:v>9.0500000000000007</c:v>
                </c:pt>
                <c:pt idx="28">
                  <c:v>9.1999999999999993</c:v>
                </c:pt>
                <c:pt idx="29">
                  <c:v>9.35</c:v>
                </c:pt>
                <c:pt idx="30">
                  <c:v>9.5</c:v>
                </c:pt>
                <c:pt idx="31">
                  <c:v>9.65</c:v>
                </c:pt>
                <c:pt idx="32">
                  <c:v>9.8000000000000007</c:v>
                </c:pt>
                <c:pt idx="33">
                  <c:v>9.9499999999999993</c:v>
                </c:pt>
                <c:pt idx="34">
                  <c:v>10.100000000000001</c:v>
                </c:pt>
                <c:pt idx="35">
                  <c:v>10.25</c:v>
                </c:pt>
                <c:pt idx="36">
                  <c:v>10.399999999999999</c:v>
                </c:pt>
                <c:pt idx="37">
                  <c:v>10.55</c:v>
                </c:pt>
                <c:pt idx="38">
                  <c:v>10.7</c:v>
                </c:pt>
                <c:pt idx="39">
                  <c:v>10.850000000000001</c:v>
                </c:pt>
                <c:pt idx="40">
                  <c:v>11</c:v>
                </c:pt>
                <c:pt idx="41">
                  <c:v>11.149999999999999</c:v>
                </c:pt>
                <c:pt idx="42">
                  <c:v>11.3</c:v>
                </c:pt>
                <c:pt idx="43">
                  <c:v>11.45</c:v>
                </c:pt>
                <c:pt idx="44">
                  <c:v>11.6</c:v>
                </c:pt>
                <c:pt idx="45">
                  <c:v>11.75</c:v>
                </c:pt>
                <c:pt idx="46">
                  <c:v>11.9</c:v>
                </c:pt>
                <c:pt idx="47">
                  <c:v>12.05</c:v>
                </c:pt>
                <c:pt idx="48">
                  <c:v>12.2</c:v>
                </c:pt>
                <c:pt idx="49">
                  <c:v>12.35</c:v>
                </c:pt>
                <c:pt idx="50">
                  <c:v>12.5</c:v>
                </c:pt>
                <c:pt idx="51">
                  <c:v>12.65</c:v>
                </c:pt>
                <c:pt idx="52">
                  <c:v>12.8</c:v>
                </c:pt>
                <c:pt idx="53">
                  <c:v>12.95</c:v>
                </c:pt>
                <c:pt idx="54">
                  <c:v>13.100000000000001</c:v>
                </c:pt>
                <c:pt idx="55">
                  <c:v>13.25</c:v>
                </c:pt>
                <c:pt idx="56">
                  <c:v>13.4</c:v>
                </c:pt>
                <c:pt idx="57">
                  <c:v>13.549999999999999</c:v>
                </c:pt>
                <c:pt idx="58">
                  <c:v>13.7</c:v>
                </c:pt>
                <c:pt idx="59">
                  <c:v>13.85</c:v>
                </c:pt>
                <c:pt idx="60">
                  <c:v>14</c:v>
                </c:pt>
                <c:pt idx="61">
                  <c:v>14.15</c:v>
                </c:pt>
                <c:pt idx="62">
                  <c:v>14.3</c:v>
                </c:pt>
                <c:pt idx="63">
                  <c:v>14.450000000000015</c:v>
                </c:pt>
                <c:pt idx="64">
                  <c:v>14.600000000000016</c:v>
                </c:pt>
                <c:pt idx="65">
                  <c:v>14.750000000000016</c:v>
                </c:pt>
                <c:pt idx="66">
                  <c:v>14.900000000000016</c:v>
                </c:pt>
                <c:pt idx="67">
                  <c:v>15.050000000000015</c:v>
                </c:pt>
                <c:pt idx="68">
                  <c:v>15.200000000000015</c:v>
                </c:pt>
                <c:pt idx="69">
                  <c:v>15.350000000000014</c:v>
                </c:pt>
                <c:pt idx="70">
                  <c:v>15.500000000000014</c:v>
                </c:pt>
                <c:pt idx="71">
                  <c:v>15.650000000000015</c:v>
                </c:pt>
                <c:pt idx="72">
                  <c:v>15.800000000000015</c:v>
                </c:pt>
                <c:pt idx="73">
                  <c:v>15.950000000000015</c:v>
                </c:pt>
                <c:pt idx="74">
                  <c:v>16.100000000000016</c:v>
                </c:pt>
                <c:pt idx="75">
                  <c:v>16.250000000000014</c:v>
                </c:pt>
                <c:pt idx="76">
                  <c:v>16.400000000000013</c:v>
                </c:pt>
                <c:pt idx="77">
                  <c:v>16.550000000000015</c:v>
                </c:pt>
                <c:pt idx="78">
                  <c:v>16.700000000000017</c:v>
                </c:pt>
                <c:pt idx="79">
                  <c:v>16.850000000000016</c:v>
                </c:pt>
                <c:pt idx="80">
                  <c:v>17.000000000000014</c:v>
                </c:pt>
                <c:pt idx="81">
                  <c:v>17.150000000000016</c:v>
                </c:pt>
                <c:pt idx="82">
                  <c:v>17.300000000000015</c:v>
                </c:pt>
                <c:pt idx="83">
                  <c:v>17.450000000000014</c:v>
                </c:pt>
                <c:pt idx="84">
                  <c:v>17.600000000000016</c:v>
                </c:pt>
                <c:pt idx="85">
                  <c:v>17.750000000000014</c:v>
                </c:pt>
                <c:pt idx="86">
                  <c:v>17.900000000000013</c:v>
                </c:pt>
                <c:pt idx="87">
                  <c:v>18.050000000000015</c:v>
                </c:pt>
                <c:pt idx="88">
                  <c:v>18.200000000000017</c:v>
                </c:pt>
                <c:pt idx="89">
                  <c:v>18.350000000000016</c:v>
                </c:pt>
                <c:pt idx="90">
                  <c:v>18.500000000000014</c:v>
                </c:pt>
                <c:pt idx="91">
                  <c:v>18.650000000000016</c:v>
                </c:pt>
                <c:pt idx="92">
                  <c:v>18.800000000000015</c:v>
                </c:pt>
                <c:pt idx="93">
                  <c:v>18.950000000000017</c:v>
                </c:pt>
                <c:pt idx="94">
                  <c:v>19.100000000000016</c:v>
                </c:pt>
                <c:pt idx="95">
                  <c:v>19.250000000000014</c:v>
                </c:pt>
                <c:pt idx="96">
                  <c:v>19.400000000000013</c:v>
                </c:pt>
                <c:pt idx="97">
                  <c:v>19.550000000000015</c:v>
                </c:pt>
                <c:pt idx="98">
                  <c:v>19.700000000000017</c:v>
                </c:pt>
                <c:pt idx="99">
                  <c:v>19.850000000000016</c:v>
                </c:pt>
                <c:pt idx="100">
                  <c:v>20</c:v>
                </c:pt>
              </c:numCache>
            </c:numRef>
          </c:xVal>
          <c:yVal>
            <c:numRef>
              <c:f>'Additional Calculations'!$AH$135:$AH$235</c:f>
              <c:numCache>
                <c:formatCode>General</c:formatCode>
                <c:ptCount val="101"/>
                <c:pt idx="0">
                  <c:v>0.75641971626924864</c:v>
                </c:pt>
                <c:pt idx="1">
                  <c:v>0.74156697015564021</c:v>
                </c:pt>
                <c:pt idx="2">
                  <c:v>0.72719809801183177</c:v>
                </c:pt>
                <c:pt idx="3">
                  <c:v>0.71329963334588742</c:v>
                </c:pt>
                <c:pt idx="4">
                  <c:v>0.69985852894215062</c:v>
                </c:pt>
                <c:pt idx="5">
                  <c:v>0.68686214193655692</c:v>
                </c:pt>
                <c:pt idx="6">
                  <c:v>0.67429821949505786</c:v>
                </c:pt>
                <c:pt idx="7">
                  <c:v>0.66215488506778364</c:v>
                </c:pt>
                <c:pt idx="8">
                  <c:v>0.65042062519298294</c:v>
                </c:pt>
                <c:pt idx="9">
                  <c:v>0.63908427682606272</c:v>
                </c:pt>
                <c:pt idx="10">
                  <c:v>0.62813501517027603</c:v>
                </c:pt>
                <c:pt idx="11">
                  <c:v>0.6175623419867825</c:v>
                </c:pt>
                <c:pt idx="12">
                  <c:v>0.60735607436289285</c:v>
                </c:pt>
                <c:pt idx="13">
                  <c:v>0.59750633391835062</c:v>
                </c:pt>
                <c:pt idx="14">
                  <c:v>0.58800353643049119</c:v>
                </c:pt>
                <c:pt idx="15">
                  <c:v>0.57883838186003933</c:v>
                </c:pt>
                <c:pt idx="16">
                  <c:v>0.57000184476020366</c:v>
                </c:pt>
                <c:pt idx="17">
                  <c:v>0.5614851650525392</c:v>
                </c:pt>
                <c:pt idx="18">
                  <c:v>0.55327983915385304</c:v>
                </c:pt>
                <c:pt idx="19">
                  <c:v>0.54537761143917896</c:v>
                </c:pt>
                <c:pt idx="20">
                  <c:v>0.53777046602654244</c:v>
                </c:pt>
                <c:pt idx="21">
                  <c:v>0.53045061886992184</c:v>
                </c:pt>
                <c:pt idx="22">
                  <c:v>0.52341051014744167</c:v>
                </c:pt>
                <c:pt idx="23">
                  <c:v>0.51664279693244974</c:v>
                </c:pt>
                <c:pt idx="24">
                  <c:v>0.51014034613568149</c:v>
                </c:pt>
                <c:pt idx="25">
                  <c:v>0.50389622770729092</c:v>
                </c:pt>
                <c:pt idx="26">
                  <c:v>0.49790370808801038</c:v>
                </c:pt>
                <c:pt idx="27">
                  <c:v>0.49215624389921858</c:v>
                </c:pt>
                <c:pt idx="28">
                  <c:v>0.48664747586214863</c:v>
                </c:pt>
                <c:pt idx="29">
                  <c:v>0.48137122293691753</c:v>
                </c:pt>
                <c:pt idx="30">
                  <c:v>0.47632147667246494</c:v>
                </c:pt>
                <c:pt idx="31">
                  <c:v>0.47149239575891422</c:v>
                </c:pt>
                <c:pt idx="32">
                  <c:v>0.46687830077422549</c:v>
                </c:pt>
                <c:pt idx="33">
                  <c:v>0.46247366911737764</c:v>
                </c:pt>
                <c:pt idx="34">
                  <c:v>0.458273130120672</c:v>
                </c:pt>
                <c:pt idx="35">
                  <c:v>0.45427146033405696</c:v>
                </c:pt>
                <c:pt idx="36">
                  <c:v>0.4504635789747084</c:v>
                </c:pt>
                <c:pt idx="37">
                  <c:v>0.44684454353536479</c:v>
                </c:pt>
                <c:pt idx="38">
                  <c:v>0.44340954554523715</c:v>
                </c:pt>
                <c:pt idx="39">
                  <c:v>0.44015390647754637</c:v>
                </c:pt>
                <c:pt idx="40">
                  <c:v>0.4370730737980203</c:v>
                </c:pt>
                <c:pt idx="41">
                  <c:v>0.43416261714891025</c:v>
                </c:pt>
                <c:pt idx="42">
                  <c:v>0.43141822466333341</c:v>
                </c:pt>
                <c:pt idx="43">
                  <c:v>0.42883569940496258</c:v>
                </c:pt>
                <c:pt idx="44">
                  <c:v>0.4264109559282801</c:v>
                </c:pt>
                <c:pt idx="45">
                  <c:v>0.42414001695484893</c:v>
                </c:pt>
                <c:pt idx="46">
                  <c:v>0.4220190101612098</c:v>
                </c:pt>
                <c:pt idx="47">
                  <c:v>0.42004416507421966</c:v>
                </c:pt>
                <c:pt idx="48">
                  <c:v>0.41821181006980762</c:v>
                </c:pt>
                <c:pt idx="49">
                  <c:v>0.41651836947129939</c:v>
                </c:pt>
                <c:pt idx="50">
                  <c:v>0.41496036074361964</c:v>
                </c:pt>
                <c:pt idx="51">
                  <c:v>0.41353439177982437</c:v>
                </c:pt>
                <c:pt idx="52">
                  <c:v>0.41223715827657215</c:v>
                </c:pt>
                <c:pt idx="53">
                  <c:v>0.41106544119527555</c:v>
                </c:pt>
                <c:pt idx="54">
                  <c:v>0.41001610430580748</c:v>
                </c:pt>
                <c:pt idx="55">
                  <c:v>0.40908609180975986</c:v>
                </c:pt>
                <c:pt idx="56">
                  <c:v>0.40827242604037939</c:v>
                </c:pt>
                <c:pt idx="57">
                  <c:v>0.40757220523641474</c:v>
                </c:pt>
                <c:pt idx="58">
                  <c:v>0.40698260138722753</c:v>
                </c:pt>
                <c:pt idx="59">
                  <c:v>0.40650085814660736</c:v>
                </c:pt>
                <c:pt idx="60">
                  <c:v>0.40612428881285684</c:v>
                </c:pt>
                <c:pt idx="61">
                  <c:v>0.4058502743727937</c:v>
                </c:pt>
                <c:pt idx="62">
                  <c:v>0.40567626160740305</c:v>
                </c:pt>
                <c:pt idx="63">
                  <c:v>0.40559976125698383</c:v>
                </c:pt>
                <c:pt idx="64">
                  <c:v>0.4056183462436912</c:v>
                </c:pt>
                <c:pt idx="65">
                  <c:v>0.40572964994948357</c:v>
                </c:pt>
                <c:pt idx="66">
                  <c:v>0.4059313645475297</c:v>
                </c:pt>
                <c:pt idx="67">
                  <c:v>0.40622123938524957</c:v>
                </c:pt>
                <c:pt idx="68">
                  <c:v>0.40659707941717665</c:v>
                </c:pt>
                <c:pt idx="69">
                  <c:v>0.40705674368595463</c:v>
                </c:pt>
                <c:pt idx="70">
                  <c:v>0.40759814384980364</c:v>
                </c:pt>
                <c:pt idx="71">
                  <c:v>0.40821924275487942</c:v>
                </c:pt>
                <c:pt idx="72">
                  <c:v>0.40891805305098999</c:v>
                </c:pt>
                <c:pt idx="73">
                  <c:v>0.40969263584921289</c:v>
                </c:pt>
                <c:pt idx="74">
                  <c:v>0.41054109941999128</c:v>
                </c:pt>
                <c:pt idx="75">
                  <c:v>0.41146159793035092</c:v>
                </c:pt>
                <c:pt idx="76">
                  <c:v>0.41245233021892541</c:v>
                </c:pt>
                <c:pt idx="77">
                  <c:v>0.41351153860753215</c:v>
                </c:pt>
                <c:pt idx="78">
                  <c:v>0.41463750774808444</c:v>
                </c:pt>
                <c:pt idx="79">
                  <c:v>0.41582856350365882</c:v>
                </c:pt>
                <c:pt idx="80">
                  <c:v>0.41708307186260513</c:v>
                </c:pt>
                <c:pt idx="81">
                  <c:v>0.41839943788460232</c:v>
                </c:pt>
                <c:pt idx="82">
                  <c:v>0.41977610467762028</c:v>
                </c:pt>
                <c:pt idx="83">
                  <c:v>0.42121155240476876</c:v>
                </c:pt>
                <c:pt idx="84">
                  <c:v>0.42270429732007631</c:v>
                </c:pt>
                <c:pt idx="85">
                  <c:v>0.42425289083224105</c:v>
                </c:pt>
                <c:pt idx="86">
                  <c:v>0.42585591859547095</c:v>
                </c:pt>
                <c:pt idx="87">
                  <c:v>0.42751199962652781</c:v>
                </c:pt>
                <c:pt idx="88">
                  <c:v>0.42921978544713807</c:v>
                </c:pt>
                <c:pt idx="89">
                  <c:v>0.43097795925096011</c:v>
                </c:pt>
                <c:pt idx="90">
                  <c:v>0.43278523509432598</c:v>
                </c:pt>
                <c:pt idx="91">
                  <c:v>0.43464035711000254</c:v>
                </c:pt>
                <c:pt idx="92">
                  <c:v>0.4365420987432444</c:v>
                </c:pt>
                <c:pt idx="93">
                  <c:v>0.43848926200943356</c:v>
                </c:pt>
                <c:pt idx="94">
                  <c:v>0.44048067677263142</c:v>
                </c:pt>
                <c:pt idx="95">
                  <c:v>0.44251520004438266</c:v>
                </c:pt>
                <c:pt idx="96">
                  <c:v>0.44459171530214714</c:v>
                </c:pt>
                <c:pt idx="97">
                  <c:v>0.44670913182674354</c:v>
                </c:pt>
                <c:pt idx="98">
                  <c:v>0.44886638405821072</c:v>
                </c:pt>
                <c:pt idx="99">
                  <c:v>0.4510624309695338</c:v>
                </c:pt>
                <c:pt idx="100">
                  <c:v>0.45329625545766944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7F-457B-9880-72C4FBD98773}"/>
            </c:ext>
          </c:extLst>
        </c:ser>
        <c:ser>
          <c:idx val="1"/>
          <c:order val="1"/>
          <c:tx>
            <c:v>Vinmax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Calculations'!$G$135:$G$235</c:f>
              <c:numCache>
                <c:formatCode>General</c:formatCode>
                <c:ptCount val="101"/>
                <c:pt idx="0">
                  <c:v>5</c:v>
                </c:pt>
                <c:pt idx="1">
                  <c:v>5.15</c:v>
                </c:pt>
                <c:pt idx="2">
                  <c:v>5.3</c:v>
                </c:pt>
                <c:pt idx="3">
                  <c:v>5.45</c:v>
                </c:pt>
                <c:pt idx="4">
                  <c:v>5.6</c:v>
                </c:pt>
                <c:pt idx="5">
                  <c:v>5.75</c:v>
                </c:pt>
                <c:pt idx="6">
                  <c:v>5.9</c:v>
                </c:pt>
                <c:pt idx="7">
                  <c:v>6.05</c:v>
                </c:pt>
                <c:pt idx="8">
                  <c:v>6.2</c:v>
                </c:pt>
                <c:pt idx="9">
                  <c:v>6.35</c:v>
                </c:pt>
                <c:pt idx="10">
                  <c:v>6.5</c:v>
                </c:pt>
                <c:pt idx="11">
                  <c:v>6.65</c:v>
                </c:pt>
                <c:pt idx="12">
                  <c:v>6.8</c:v>
                </c:pt>
                <c:pt idx="13">
                  <c:v>6.95</c:v>
                </c:pt>
                <c:pt idx="14">
                  <c:v>7.1</c:v>
                </c:pt>
                <c:pt idx="15">
                  <c:v>7.25</c:v>
                </c:pt>
                <c:pt idx="16">
                  <c:v>7.4</c:v>
                </c:pt>
                <c:pt idx="17">
                  <c:v>7.5500000000000007</c:v>
                </c:pt>
                <c:pt idx="18">
                  <c:v>7.6999999999999993</c:v>
                </c:pt>
                <c:pt idx="19">
                  <c:v>7.85</c:v>
                </c:pt>
                <c:pt idx="20">
                  <c:v>8</c:v>
                </c:pt>
                <c:pt idx="21">
                  <c:v>8.15</c:v>
                </c:pt>
                <c:pt idx="22">
                  <c:v>8.3000000000000007</c:v>
                </c:pt>
                <c:pt idx="23">
                  <c:v>8.4499999999999993</c:v>
                </c:pt>
                <c:pt idx="24">
                  <c:v>8.6</c:v>
                </c:pt>
                <c:pt idx="25">
                  <c:v>8.75</c:v>
                </c:pt>
                <c:pt idx="26">
                  <c:v>8.9</c:v>
                </c:pt>
                <c:pt idx="27">
                  <c:v>9.0500000000000007</c:v>
                </c:pt>
                <c:pt idx="28">
                  <c:v>9.1999999999999993</c:v>
                </c:pt>
                <c:pt idx="29">
                  <c:v>9.35</c:v>
                </c:pt>
                <c:pt idx="30">
                  <c:v>9.5</c:v>
                </c:pt>
                <c:pt idx="31">
                  <c:v>9.65</c:v>
                </c:pt>
                <c:pt idx="32">
                  <c:v>9.8000000000000007</c:v>
                </c:pt>
                <c:pt idx="33">
                  <c:v>9.9499999999999993</c:v>
                </c:pt>
                <c:pt idx="34">
                  <c:v>10.100000000000001</c:v>
                </c:pt>
                <c:pt idx="35">
                  <c:v>10.25</c:v>
                </c:pt>
                <c:pt idx="36">
                  <c:v>10.399999999999999</c:v>
                </c:pt>
                <c:pt idx="37">
                  <c:v>10.55</c:v>
                </c:pt>
                <c:pt idx="38">
                  <c:v>10.7</c:v>
                </c:pt>
                <c:pt idx="39">
                  <c:v>10.850000000000001</c:v>
                </c:pt>
                <c:pt idx="40">
                  <c:v>11</c:v>
                </c:pt>
                <c:pt idx="41">
                  <c:v>11.149999999999999</c:v>
                </c:pt>
                <c:pt idx="42">
                  <c:v>11.3</c:v>
                </c:pt>
                <c:pt idx="43">
                  <c:v>11.45</c:v>
                </c:pt>
                <c:pt idx="44">
                  <c:v>11.6</c:v>
                </c:pt>
                <c:pt idx="45">
                  <c:v>11.75</c:v>
                </c:pt>
                <c:pt idx="46">
                  <c:v>11.9</c:v>
                </c:pt>
                <c:pt idx="47">
                  <c:v>12.05</c:v>
                </c:pt>
                <c:pt idx="48">
                  <c:v>12.2</c:v>
                </c:pt>
                <c:pt idx="49">
                  <c:v>12.35</c:v>
                </c:pt>
                <c:pt idx="50">
                  <c:v>12.5</c:v>
                </c:pt>
                <c:pt idx="51">
                  <c:v>12.65</c:v>
                </c:pt>
                <c:pt idx="52">
                  <c:v>12.8</c:v>
                </c:pt>
                <c:pt idx="53">
                  <c:v>12.95</c:v>
                </c:pt>
                <c:pt idx="54">
                  <c:v>13.100000000000001</c:v>
                </c:pt>
                <c:pt idx="55">
                  <c:v>13.25</c:v>
                </c:pt>
                <c:pt idx="56">
                  <c:v>13.4</c:v>
                </c:pt>
                <c:pt idx="57">
                  <c:v>13.549999999999999</c:v>
                </c:pt>
                <c:pt idx="58">
                  <c:v>13.7</c:v>
                </c:pt>
                <c:pt idx="59">
                  <c:v>13.85</c:v>
                </c:pt>
                <c:pt idx="60">
                  <c:v>14</c:v>
                </c:pt>
                <c:pt idx="61">
                  <c:v>14.15</c:v>
                </c:pt>
                <c:pt idx="62">
                  <c:v>14.3</c:v>
                </c:pt>
                <c:pt idx="63">
                  <c:v>14.450000000000015</c:v>
                </c:pt>
                <c:pt idx="64">
                  <c:v>14.600000000000016</c:v>
                </c:pt>
                <c:pt idx="65">
                  <c:v>14.750000000000016</c:v>
                </c:pt>
                <c:pt idx="66">
                  <c:v>14.900000000000016</c:v>
                </c:pt>
                <c:pt idx="67">
                  <c:v>15.050000000000015</c:v>
                </c:pt>
                <c:pt idx="68">
                  <c:v>15.200000000000015</c:v>
                </c:pt>
                <c:pt idx="69">
                  <c:v>15.350000000000014</c:v>
                </c:pt>
                <c:pt idx="70">
                  <c:v>15.500000000000014</c:v>
                </c:pt>
                <c:pt idx="71">
                  <c:v>15.650000000000015</c:v>
                </c:pt>
                <c:pt idx="72">
                  <c:v>15.800000000000015</c:v>
                </c:pt>
                <c:pt idx="73">
                  <c:v>15.950000000000015</c:v>
                </c:pt>
                <c:pt idx="74">
                  <c:v>16.100000000000016</c:v>
                </c:pt>
                <c:pt idx="75">
                  <c:v>16.250000000000014</c:v>
                </c:pt>
                <c:pt idx="76">
                  <c:v>16.400000000000013</c:v>
                </c:pt>
                <c:pt idx="77">
                  <c:v>16.550000000000015</c:v>
                </c:pt>
                <c:pt idx="78">
                  <c:v>16.700000000000017</c:v>
                </c:pt>
                <c:pt idx="79">
                  <c:v>16.850000000000016</c:v>
                </c:pt>
                <c:pt idx="80">
                  <c:v>17.000000000000014</c:v>
                </c:pt>
                <c:pt idx="81">
                  <c:v>17.150000000000016</c:v>
                </c:pt>
                <c:pt idx="82">
                  <c:v>17.300000000000015</c:v>
                </c:pt>
                <c:pt idx="83">
                  <c:v>17.450000000000014</c:v>
                </c:pt>
                <c:pt idx="84">
                  <c:v>17.600000000000016</c:v>
                </c:pt>
                <c:pt idx="85">
                  <c:v>17.750000000000014</c:v>
                </c:pt>
                <c:pt idx="86">
                  <c:v>17.900000000000013</c:v>
                </c:pt>
                <c:pt idx="87">
                  <c:v>18.050000000000015</c:v>
                </c:pt>
                <c:pt idx="88">
                  <c:v>18.200000000000017</c:v>
                </c:pt>
                <c:pt idx="89">
                  <c:v>18.350000000000016</c:v>
                </c:pt>
                <c:pt idx="90">
                  <c:v>18.500000000000014</c:v>
                </c:pt>
                <c:pt idx="91">
                  <c:v>18.650000000000016</c:v>
                </c:pt>
                <c:pt idx="92">
                  <c:v>18.800000000000015</c:v>
                </c:pt>
                <c:pt idx="93">
                  <c:v>18.950000000000017</c:v>
                </c:pt>
                <c:pt idx="94">
                  <c:v>19.100000000000016</c:v>
                </c:pt>
                <c:pt idx="95">
                  <c:v>19.250000000000014</c:v>
                </c:pt>
                <c:pt idx="96">
                  <c:v>19.400000000000013</c:v>
                </c:pt>
                <c:pt idx="97">
                  <c:v>19.550000000000015</c:v>
                </c:pt>
                <c:pt idx="98">
                  <c:v>19.700000000000017</c:v>
                </c:pt>
                <c:pt idx="99">
                  <c:v>19.850000000000016</c:v>
                </c:pt>
                <c:pt idx="100">
                  <c:v>20</c:v>
                </c:pt>
              </c:numCache>
            </c:numRef>
          </c:xVal>
          <c:yVal>
            <c:numRef>
              <c:f>'Additional Calculations'!$AI$135:$AI$235</c:f>
              <c:numCache>
                <c:formatCode>General</c:formatCode>
                <c:ptCount val="101"/>
                <c:pt idx="0">
                  <c:v>0.25315948131952809</c:v>
                </c:pt>
                <c:pt idx="1">
                  <c:v>0.23038108187966128</c:v>
                </c:pt>
                <c:pt idx="2">
                  <c:v>0.20789053374931937</c:v>
                </c:pt>
                <c:pt idx="3">
                  <c:v>0.18568469312650809</c:v>
                </c:pt>
                <c:pt idx="4">
                  <c:v>0.16376045479944626</c:v>
                </c:pt>
                <c:pt idx="5">
                  <c:v>0.14211475160293494</c:v>
                </c:pt>
                <c:pt idx="6">
                  <c:v>0.12074455388345716</c:v>
                </c:pt>
                <c:pt idx="7">
                  <c:v>9.964686897283509E-2</c:v>
                </c:pt>
                <c:pt idx="8">
                  <c:v>7.881874067031068E-2</c:v>
                </c:pt>
                <c:pt idx="9">
                  <c:v>5.8257248732880296E-2</c:v>
                </c:pt>
                <c:pt idx="10">
                  <c:v>3.7959508373742644E-2</c:v>
                </c:pt>
                <c:pt idx="11">
                  <c:v>1.7922669768713897E-2</c:v>
                </c:pt>
                <c:pt idx="12">
                  <c:v>-1.856082429530029E-3</c:v>
                </c:pt>
                <c:pt idx="13">
                  <c:v>-2.1379529569526438E-2</c:v>
                </c:pt>
                <c:pt idx="14">
                  <c:v>-4.0650419471557134E-2</c:v>
                </c:pt>
                <c:pt idx="15">
                  <c:v>-5.9671466890756933E-2</c:v>
                </c:pt>
                <c:pt idx="16">
                  <c:v>-7.8445353972945581E-2</c:v>
                </c:pt>
                <c:pt idx="17">
                  <c:v>-9.6974730703302481E-2</c:v>
                </c:pt>
                <c:pt idx="18">
                  <c:v>-0.11526221534801867</c:v>
                </c:pt>
                <c:pt idx="19">
                  <c:v>-0.13331039488904289</c:v>
                </c:pt>
                <c:pt idx="20">
                  <c:v>-0.15112182545204275</c:v>
                </c:pt>
                <c:pt idx="21">
                  <c:v>-0.16869903272771064</c:v>
                </c:pt>
                <c:pt idx="22">
                  <c:v>-0.18604451238651801</c:v>
                </c:pt>
                <c:pt idx="23">
                  <c:v>-0.20316073048703936</c:v>
                </c:pt>
                <c:pt idx="24">
                  <c:v>-0.22005012387795911</c:v>
                </c:pt>
                <c:pt idx="25">
                  <c:v>-0.23671510059386427</c:v>
                </c:pt>
                <c:pt idx="26">
                  <c:v>-0.2531580402449442</c:v>
                </c:pt>
                <c:pt idx="27">
                  <c:v>-0.26938129440068637</c:v>
                </c:pt>
                <c:pt idx="28">
                  <c:v>-0.28538718696768572</c:v>
                </c:pt>
                <c:pt idx="29">
                  <c:v>-0.30117801456166243</c:v>
                </c:pt>
                <c:pt idx="30">
                  <c:v>-0.31675604687378989</c:v>
                </c:pt>
                <c:pt idx="31">
                  <c:v>-0.33212352703143272</c:v>
                </c:pt>
                <c:pt idx="32">
                  <c:v>-0.34728267195338292</c:v>
                </c:pt>
                <c:pt idx="33">
                  <c:v>-0.36223567269970269</c:v>
                </c:pt>
                <c:pt idx="34">
                  <c:v>-0.37698469481625163</c:v>
                </c:pt>
                <c:pt idx="35">
                  <c:v>-0.39153187867399625</c:v>
                </c:pt>
                <c:pt idx="36">
                  <c:v>-0.4058793398031913</c:v>
                </c:pt>
                <c:pt idx="37">
                  <c:v>-0.42002916922251926</c:v>
                </c:pt>
                <c:pt idx="38">
                  <c:v>-0.43398343376326726</c:v>
                </c:pt>
                <c:pt idx="39">
                  <c:v>-0.44774417638864172</c:v>
                </c:pt>
                <c:pt idx="40">
                  <c:v>-0.46131341650827795</c:v>
                </c:pt>
                <c:pt idx="41">
                  <c:v>-0.47469315028805531</c:v>
                </c:pt>
                <c:pt idx="42">
                  <c:v>-0.48788535095527147</c:v>
                </c:pt>
                <c:pt idx="43">
                  <c:v>-0.50089196909926359</c:v>
                </c:pt>
                <c:pt idx="44">
                  <c:v>-0.5137149329675651</c:v>
                </c:pt>
                <c:pt idx="45">
                  <c:v>-0.52635614875764536</c:v>
                </c:pt>
                <c:pt idx="46">
                  <c:v>-0.53881750090433467</c:v>
                </c:pt>
                <c:pt idx="47">
                  <c:v>-0.55110085236298456</c:v>
                </c:pt>
                <c:pt idx="48">
                  <c:v>-0.563208044888449</c:v>
                </c:pt>
                <c:pt idx="49">
                  <c:v>-0.57514089930995049</c:v>
                </c:pt>
                <c:pt idx="50">
                  <c:v>-0.58690121580189558</c:v>
                </c:pt>
                <c:pt idx="51">
                  <c:v>-0.59849077415071006</c:v>
                </c:pt>
                <c:pt idx="52">
                  <c:v>-0.60991133401776987</c:v>
                </c:pt>
                <c:pt idx="53">
                  <c:v>-0.62116463519846798</c:v>
                </c:pt>
                <c:pt idx="54">
                  <c:v>-0.63225239787750542</c:v>
                </c:pt>
                <c:pt idx="55">
                  <c:v>-0.64317632288045323</c:v>
                </c:pt>
                <c:pt idx="56">
                  <c:v>-0.6539380919216552</c:v>
                </c:pt>
                <c:pt idx="57">
                  <c:v>-0.66453936784852774</c:v>
                </c:pt>
                <c:pt idx="58">
                  <c:v>-0.6749817948823067</c:v>
                </c:pt>
                <c:pt idx="59">
                  <c:v>-0.68526699885532261</c:v>
                </c:pt>
                <c:pt idx="60">
                  <c:v>-0.69539658744483057</c:v>
                </c:pt>
                <c:pt idx="61">
                  <c:v>-0.705372150403484</c:v>
                </c:pt>
                <c:pt idx="62">
                  <c:v>-0.71519525978647003</c:v>
                </c:pt>
                <c:pt idx="63">
                  <c:v>-0.72486747017539399</c:v>
                </c:pt>
                <c:pt idx="64">
                  <c:v>-0.73439031889894524</c:v>
                </c:pt>
                <c:pt idx="65">
                  <c:v>-0.74376532625039982</c:v>
                </c:pt>
                <c:pt idx="66">
                  <c:v>-0.75299399570202452</c:v>
                </c:pt>
                <c:pt idx="67">
                  <c:v>-0.7620778141164003</c:v>
                </c:pt>
                <c:pt idx="68">
                  <c:v>-0.77101825195475826</c:v>
                </c:pt>
                <c:pt idx="69">
                  <c:v>-0.77981676348233642</c:v>
                </c:pt>
                <c:pt idx="70">
                  <c:v>-0.78847478697082618</c:v>
                </c:pt>
                <c:pt idx="71">
                  <c:v>-0.79699374489794916</c:v>
                </c:pt>
                <c:pt idx="72">
                  <c:v>-0.80537504414421479</c:v>
                </c:pt>
                <c:pt idx="73">
                  <c:v>-0.81362007618689502</c:v>
                </c:pt>
                <c:pt idx="74">
                  <c:v>-0.82173021729126228</c:v>
                </c:pt>
                <c:pt idx="75">
                  <c:v>-0.82970682869914747</c:v>
                </c:pt>
                <c:pt idx="76">
                  <c:v>-0.83755125681483378</c:v>
                </c:pt>
                <c:pt idx="77">
                  <c:v>-0.84526483338835867</c:v>
                </c:pt>
                <c:pt idx="78">
                  <c:v>-0.85284887569624124</c:v>
                </c:pt>
                <c:pt idx="79">
                  <c:v>-0.86030468671968152</c:v>
                </c:pt>
                <c:pt idx="80">
                  <c:v>-0.86763355532029041</c:v>
                </c:pt>
                <c:pt idx="81">
                  <c:v>-0.87483675641335146</c:v>
                </c:pt>
                <c:pt idx="82">
                  <c:v>-0.88191555113868758</c:v>
                </c:pt>
                <c:pt idx="83">
                  <c:v>-0.88887118702915713</c:v>
                </c:pt>
                <c:pt idx="84">
                  <c:v>-0.8957048981768061</c:v>
                </c:pt>
                <c:pt idx="85">
                  <c:v>-0.90241790539673217</c:v>
                </c:pt>
                <c:pt idx="86">
                  <c:v>-0.90901141638868532</c:v>
                </c:pt>
                <c:pt idx="87">
                  <c:v>-0.9154866258964367</c:v>
                </c:pt>
                <c:pt idx="88">
                  <c:v>-0.92184471586496042</c:v>
                </c:pt>
                <c:pt idx="89">
                  <c:v>-0.92808685559545123</c:v>
                </c:pt>
                <c:pt idx="90">
                  <c:v>-0.9342142018982218</c:v>
                </c:pt>
                <c:pt idx="91">
                  <c:v>-0.94022789924350847</c:v>
                </c:pt>
                <c:pt idx="92">
                  <c:v>-0.94612907991020623</c:v>
                </c:pt>
                <c:pt idx="93">
                  <c:v>-0.95191886413259108</c:v>
                </c:pt>
                <c:pt idx="94">
                  <c:v>-0.95759836024502631</c:v>
                </c:pt>
                <c:pt idx="95">
                  <c:v>-0.96316866482471797</c:v>
                </c:pt>
                <c:pt idx="96">
                  <c:v>-0.96863086283252309</c:v>
                </c:pt>
                <c:pt idx="97">
                  <c:v>-0.9739860277518525</c:v>
                </c:pt>
                <c:pt idx="98">
                  <c:v>-0.97923522172569644</c:v>
                </c:pt>
                <c:pt idx="99">
                  <c:v>-0.98437949569179628</c:v>
                </c:pt>
                <c:pt idx="100">
                  <c:v>-0.98941988951599802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7F-457B-9880-72C4FBD98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153600"/>
        <c:axId val="388153992"/>
      </c:scatterChart>
      <c:valAx>
        <c:axId val="388153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Output 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992"/>
        <c:crosses val="autoZero"/>
        <c:crossBetween val="midCat"/>
      </c:valAx>
      <c:valAx>
        <c:axId val="38815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Output Current Transition Point (A)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Estimated</a:t>
            </a:r>
            <a:r>
              <a:rPr lang="en-US" baseline="0"/>
              <a:t> Min. XFMR Loss vs. Number of Primary Windings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Losses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Calculations'!$K$35:$K$71</c:f>
              <c:numCache>
                <c:formatCode>General</c:formatCode>
                <c:ptCount val="3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</c:numCache>
            </c:numRef>
          </c:xVal>
          <c:yVal>
            <c:numRef>
              <c:f>'Additional Calculations'!$Z$35:$Z$71</c:f>
              <c:numCache>
                <c:formatCode>General</c:formatCode>
                <c:ptCount val="37"/>
                <c:pt idx="0">
                  <c:v>21.104482814324871</c:v>
                </c:pt>
                <c:pt idx="1">
                  <c:v>16.167802015198472</c:v>
                </c:pt>
                <c:pt idx="2">
                  <c:v>12.800330707872462</c:v>
                </c:pt>
                <c:pt idx="3">
                  <c:v>10.40681158828639</c:v>
                </c:pt>
                <c:pt idx="4">
                  <c:v>8.6723751304548049</c:v>
                </c:pt>
                <c:pt idx="5">
                  <c:v>7.3978975065617769</c:v>
                </c:pt>
                <c:pt idx="6">
                  <c:v>6.4447180601559229</c:v>
                </c:pt>
                <c:pt idx="7">
                  <c:v>5.6732781896836597</c:v>
                </c:pt>
                <c:pt idx="8">
                  <c:v>5.1479611166840638</c:v>
                </c:pt>
                <c:pt idx="9">
                  <c:v>4.68505886129822</c:v>
                </c:pt>
                <c:pt idx="10">
                  <c:v>4.4337245767272888</c:v>
                </c:pt>
                <c:pt idx="11">
                  <c:v>4.1646408252879326</c:v>
                </c:pt>
                <c:pt idx="12">
                  <c:v>3.963462362402415</c:v>
                </c:pt>
                <c:pt idx="13">
                  <c:v>3.894435695700853</c:v>
                </c:pt>
                <c:pt idx="14">
                  <c:v>3.7976657290488527</c:v>
                </c:pt>
                <c:pt idx="15">
                  <c:v>3.743913669943665</c:v>
                </c:pt>
                <c:pt idx="16">
                  <c:v>3.9265299307386226</c:v>
                </c:pt>
                <c:pt idx="17">
                  <c:v>3.8753595367682188</c:v>
                </c:pt>
                <c:pt idx="18">
                  <c:v>3.9292457518927053</c:v>
                </c:pt>
                <c:pt idx="19">
                  <c:v>3.9151814856218028</c:v>
                </c:pt>
                <c:pt idx="20">
                  <c:v>4.0220284925138774</c:v>
                </c:pt>
                <c:pt idx="21">
                  <c:v>4.0361535444567016</c:v>
                </c:pt>
                <c:pt idx="22">
                  <c:v>4.5634503147402707</c:v>
                </c:pt>
                <c:pt idx="23">
                  <c:v>4.6123135173342291</c:v>
                </c:pt>
                <c:pt idx="24">
                  <c:v>4.6683957066514488</c:v>
                </c:pt>
                <c:pt idx="25">
                  <c:v>4.9059218001262312</c:v>
                </c:pt>
                <c:pt idx="26">
                  <c:v>4.9791120226981311</c:v>
                </c:pt>
                <c:pt idx="27">
                  <c:v>5.0571428892322174</c:v>
                </c:pt>
                <c:pt idx="28">
                  <c:v>5.3687331181118871</c:v>
                </c:pt>
                <c:pt idx="29">
                  <c:v>5.4611834304419506</c:v>
                </c:pt>
                <c:pt idx="30">
                  <c:v>6.3355812524401003</c:v>
                </c:pt>
                <c:pt idx="31">
                  <c:v>6.7584662276092402</c:v>
                </c:pt>
                <c:pt idx="32">
                  <c:v>6.8882136437371591</c:v>
                </c:pt>
                <c:pt idx="33">
                  <c:v>7.0203575799062454</c:v>
                </c:pt>
                <c:pt idx="34">
                  <c:v>7.1546552730474531</c:v>
                </c:pt>
                <c:pt idx="35">
                  <c:v>7.2908935450662424</c:v>
                </c:pt>
                <c:pt idx="36">
                  <c:v>7.8570327449482438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49-48C4-AE6F-8D4F63972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153600"/>
        <c:axId val="388153992"/>
      </c:scatterChart>
      <c:valAx>
        <c:axId val="388153600"/>
        <c:scaling>
          <c:orientation val="minMax"/>
          <c:max val="30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Primary Windings (#)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992"/>
        <c:crosses val="autoZero"/>
        <c:crossBetween val="midCat"/>
        <c:majorUnit val="2"/>
      </c:valAx>
      <c:valAx>
        <c:axId val="38815399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XFMR Losses (W)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Ideal</a:t>
            </a:r>
            <a:r>
              <a:rPr lang="en-US" baseline="0"/>
              <a:t> AWG vs. Load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awg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'Additional Calculations'!$K$75:$K$99</c:f>
              <c:numCache>
                <c:formatCode>General</c:formatCode>
                <c:ptCount val="25"/>
                <c:pt idx="0">
                  <c:v>0.13</c:v>
                </c:pt>
                <c:pt idx="1">
                  <c:v>0.26</c:v>
                </c:pt>
                <c:pt idx="2">
                  <c:v>0.39</c:v>
                </c:pt>
                <c:pt idx="3">
                  <c:v>0.52</c:v>
                </c:pt>
                <c:pt idx="4">
                  <c:v>0.65</c:v>
                </c:pt>
                <c:pt idx="5">
                  <c:v>0.78</c:v>
                </c:pt>
                <c:pt idx="6">
                  <c:v>0.91000000000000014</c:v>
                </c:pt>
                <c:pt idx="7">
                  <c:v>1.04</c:v>
                </c:pt>
                <c:pt idx="8">
                  <c:v>1.17</c:v>
                </c:pt>
                <c:pt idx="9">
                  <c:v>1.3</c:v>
                </c:pt>
                <c:pt idx="10">
                  <c:v>1.43</c:v>
                </c:pt>
                <c:pt idx="11">
                  <c:v>1.56</c:v>
                </c:pt>
                <c:pt idx="12">
                  <c:v>1.69</c:v>
                </c:pt>
                <c:pt idx="13">
                  <c:v>1.8200000000000003</c:v>
                </c:pt>
                <c:pt idx="14">
                  <c:v>1.95</c:v>
                </c:pt>
                <c:pt idx="15">
                  <c:v>2.08</c:v>
                </c:pt>
                <c:pt idx="16">
                  <c:v>2.21</c:v>
                </c:pt>
                <c:pt idx="17">
                  <c:v>2.34</c:v>
                </c:pt>
                <c:pt idx="18">
                  <c:v>2.4700000000000002</c:v>
                </c:pt>
                <c:pt idx="19">
                  <c:v>2.6</c:v>
                </c:pt>
                <c:pt idx="20">
                  <c:v>2.73</c:v>
                </c:pt>
                <c:pt idx="21">
                  <c:v>2.86</c:v>
                </c:pt>
                <c:pt idx="22">
                  <c:v>2.99</c:v>
                </c:pt>
                <c:pt idx="23">
                  <c:v>3.12</c:v>
                </c:pt>
                <c:pt idx="24">
                  <c:v>3.25</c:v>
                </c:pt>
              </c:numCache>
            </c:numRef>
          </c:xVal>
          <c:yVal>
            <c:numRef>
              <c:f>'Additional Calculations'!$R$75:$R$99</c:f>
              <c:numCache>
                <c:formatCode>General</c:formatCode>
                <c:ptCount val="25"/>
                <c:pt idx="0">
                  <c:v>42</c:v>
                </c:pt>
                <c:pt idx="1">
                  <c:v>41</c:v>
                </c:pt>
                <c:pt idx="2">
                  <c:v>41</c:v>
                </c:pt>
                <c:pt idx="3">
                  <c:v>40</c:v>
                </c:pt>
                <c:pt idx="4">
                  <c:v>40</c:v>
                </c:pt>
                <c:pt idx="5">
                  <c:v>39</c:v>
                </c:pt>
                <c:pt idx="6">
                  <c:v>39</c:v>
                </c:pt>
                <c:pt idx="7">
                  <c:v>38</c:v>
                </c:pt>
                <c:pt idx="8">
                  <c:v>38</c:v>
                </c:pt>
                <c:pt idx="9">
                  <c:v>38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36</c:v>
                </c:pt>
                <c:pt idx="15">
                  <c:v>36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2F-4B91-AAF4-97AE9FB30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153600"/>
        <c:axId val="388153992"/>
      </c:scatterChart>
      <c:valAx>
        <c:axId val="38815360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Load (A)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992"/>
        <c:crosses val="autoZero"/>
        <c:crossBetween val="midCat"/>
        <c:majorUnit val="0.30000000000000004"/>
      </c:valAx>
      <c:valAx>
        <c:axId val="388153992"/>
        <c:scaling>
          <c:orientation val="minMax"/>
          <c:max val="4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AWG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53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chart" Target="../charts/chart3.xml"/><Relationship Id="rId7" Type="http://schemas.openxmlformats.org/officeDocument/2006/relationships/image" Target="../media/image4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5" Type="http://schemas.openxmlformats.org/officeDocument/2006/relationships/image" Target="../media/image2.png"/><Relationship Id="rId10" Type="http://schemas.openxmlformats.org/officeDocument/2006/relationships/image" Target="../media/image7.png"/><Relationship Id="rId4" Type="http://schemas.openxmlformats.org/officeDocument/2006/relationships/chart" Target="../charts/chart4.xml"/><Relationship Id="rId9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54908</xdr:colOff>
      <xdr:row>42</xdr:row>
      <xdr:rowOff>61073</xdr:rowOff>
    </xdr:from>
    <xdr:to>
      <xdr:col>14</xdr:col>
      <xdr:colOff>316005</xdr:colOff>
      <xdr:row>56</xdr:row>
      <xdr:rowOff>123265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48186</xdr:colOff>
      <xdr:row>56</xdr:row>
      <xdr:rowOff>136712</xdr:rowOff>
    </xdr:from>
    <xdr:to>
      <xdr:col>14</xdr:col>
      <xdr:colOff>313764</xdr:colOff>
      <xdr:row>71</xdr:row>
      <xdr:rowOff>560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45625</xdr:colOff>
      <xdr:row>86</xdr:row>
      <xdr:rowOff>105655</xdr:rowOff>
    </xdr:from>
    <xdr:to>
      <xdr:col>14</xdr:col>
      <xdr:colOff>311203</xdr:colOff>
      <xdr:row>102</xdr:row>
      <xdr:rowOff>153599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44825</xdr:colOff>
      <xdr:row>71</xdr:row>
      <xdr:rowOff>11206</xdr:rowOff>
    </xdr:from>
    <xdr:to>
      <xdr:col>14</xdr:col>
      <xdr:colOff>310403</xdr:colOff>
      <xdr:row>86</xdr:row>
      <xdr:rowOff>92767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415636</xdr:colOff>
      <xdr:row>64</xdr:row>
      <xdr:rowOff>34636</xdr:rowOff>
    </xdr:from>
    <xdr:to>
      <xdr:col>22</xdr:col>
      <xdr:colOff>340413</xdr:colOff>
      <xdr:row>76</xdr:row>
      <xdr:rowOff>131053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23272" y="12088091"/>
          <a:ext cx="4773868" cy="2417053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381000</xdr:colOff>
      <xdr:row>77</xdr:row>
      <xdr:rowOff>0</xdr:rowOff>
    </xdr:from>
    <xdr:to>
      <xdr:col>23</xdr:col>
      <xdr:colOff>42207</xdr:colOff>
      <xdr:row>84</xdr:row>
      <xdr:rowOff>86591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988636" y="14564591"/>
          <a:ext cx="5116435" cy="1454727"/>
        </a:xfrm>
        <a:prstGeom prst="rect">
          <a:avLst/>
        </a:prstGeom>
      </xdr:spPr>
    </xdr:pic>
    <xdr:clientData/>
  </xdr:twoCellAnchor>
  <xdr:twoCellAnchor editAs="oneCell">
    <xdr:from>
      <xdr:col>14</xdr:col>
      <xdr:colOff>398319</xdr:colOff>
      <xdr:row>84</xdr:row>
      <xdr:rowOff>138545</xdr:rowOff>
    </xdr:from>
    <xdr:to>
      <xdr:col>22</xdr:col>
      <xdr:colOff>588818</xdr:colOff>
      <xdr:row>92</xdr:row>
      <xdr:rowOff>30209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005955" y="16071272"/>
          <a:ext cx="5039590" cy="1439095"/>
        </a:xfrm>
        <a:prstGeom prst="rect">
          <a:avLst/>
        </a:prstGeom>
      </xdr:spPr>
    </xdr:pic>
    <xdr:clientData/>
  </xdr:twoCellAnchor>
  <xdr:twoCellAnchor editAs="oneCell">
    <xdr:from>
      <xdr:col>7</xdr:col>
      <xdr:colOff>259198</xdr:colOff>
      <xdr:row>112</xdr:row>
      <xdr:rowOff>8283</xdr:rowOff>
    </xdr:from>
    <xdr:to>
      <xdr:col>15</xdr:col>
      <xdr:colOff>393354</xdr:colOff>
      <xdr:row>126</xdr:row>
      <xdr:rowOff>97929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16350" y="19638066"/>
          <a:ext cx="5037461" cy="2773211"/>
        </a:xfrm>
        <a:prstGeom prst="rect">
          <a:avLst/>
        </a:prstGeom>
      </xdr:spPr>
    </xdr:pic>
    <xdr:clientData/>
  </xdr:twoCellAnchor>
  <xdr:twoCellAnchor editAs="oneCell">
    <xdr:from>
      <xdr:col>19</xdr:col>
      <xdr:colOff>383801</xdr:colOff>
      <xdr:row>55</xdr:row>
      <xdr:rowOff>160806</xdr:rowOff>
    </xdr:from>
    <xdr:to>
      <xdr:col>21</xdr:col>
      <xdr:colOff>49492</xdr:colOff>
      <xdr:row>63</xdr:row>
      <xdr:rowOff>104777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061951" y="10752606"/>
          <a:ext cx="884891" cy="1487021"/>
        </a:xfrm>
        <a:prstGeom prst="rect">
          <a:avLst/>
        </a:prstGeom>
      </xdr:spPr>
    </xdr:pic>
    <xdr:clientData/>
  </xdr:twoCellAnchor>
  <xdr:twoCellAnchor editAs="oneCell">
    <xdr:from>
      <xdr:col>19</xdr:col>
      <xdr:colOff>417420</xdr:colOff>
      <xdr:row>47</xdr:row>
      <xdr:rowOff>138392</xdr:rowOff>
    </xdr:from>
    <xdr:to>
      <xdr:col>22</xdr:col>
      <xdr:colOff>103655</xdr:colOff>
      <xdr:row>56</xdr:row>
      <xdr:rowOff>85693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095570" y="9187142"/>
          <a:ext cx="1515035" cy="1680851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150</xdr:row>
      <xdr:rowOff>38100</xdr:rowOff>
    </xdr:from>
    <xdr:to>
      <xdr:col>12</xdr:col>
      <xdr:colOff>226358</xdr:colOff>
      <xdr:row>163</xdr:row>
      <xdr:rowOff>143023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477250" y="26641425"/>
          <a:ext cx="3160058" cy="259094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352425</xdr:colOff>
          <xdr:row>51</xdr:row>
          <xdr:rowOff>57150</xdr:rowOff>
        </xdr:from>
        <xdr:to>
          <xdr:col>19</xdr:col>
          <xdr:colOff>323850</xdr:colOff>
          <xdr:row>63</xdr:row>
          <xdr:rowOff>95250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17369</xdr:rowOff>
        </xdr:from>
        <xdr:to>
          <xdr:col>11</xdr:col>
          <xdr:colOff>597467</xdr:colOff>
          <xdr:row>34</xdr:row>
          <xdr:rowOff>44824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48</xdr:row>
          <xdr:rowOff>133350</xdr:rowOff>
        </xdr:from>
        <xdr:to>
          <xdr:col>8</xdr:col>
          <xdr:colOff>504825</xdr:colOff>
          <xdr:row>60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39</xdr:row>
          <xdr:rowOff>104775</xdr:rowOff>
        </xdr:from>
        <xdr:to>
          <xdr:col>8</xdr:col>
          <xdr:colOff>523875</xdr:colOff>
          <xdr:row>48</xdr:row>
          <xdr:rowOff>95250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22412</xdr:colOff>
      <xdr:row>247</xdr:row>
      <xdr:rowOff>168089</xdr:rowOff>
    </xdr:from>
    <xdr:to>
      <xdr:col>7</xdr:col>
      <xdr:colOff>201705</xdr:colOff>
      <xdr:row>261</xdr:row>
      <xdr:rowOff>92037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8588" y="47221589"/>
          <a:ext cx="3160058" cy="259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emf"/><Relationship Id="rId4" Type="http://schemas.openxmlformats.org/officeDocument/2006/relationships/package" Target="../embeddings/Microsoft_Visio_Drawing.vsdx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9.emf"/><Relationship Id="rId4" Type="http://schemas.openxmlformats.org/officeDocument/2006/relationships/package" Target="../embeddings/Microsoft_Visio_Drawing1.vsdx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drawing" Target="../drawings/drawing3.xml"/><Relationship Id="rId7" Type="http://schemas.openxmlformats.org/officeDocument/2006/relationships/package" Target="../embeddings/Microsoft_Visio_Drawing3.vsdx"/><Relationship Id="rId2" Type="http://schemas.openxmlformats.org/officeDocument/2006/relationships/hyperlink" Target="https://cbasso.pagesperso-orange.fr/Downloads/Papers/The%20TL431%20in%20loop%20control.pdf" TargetMode="External"/><Relationship Id="rId1" Type="http://schemas.openxmlformats.org/officeDocument/2006/relationships/hyperlink" Target="https://www.furukawa.co.jp/tex-e/en/product/texe_series.html" TargetMode="External"/><Relationship Id="rId6" Type="http://schemas.openxmlformats.org/officeDocument/2006/relationships/image" Target="../media/image10.emf"/><Relationship Id="rId5" Type="http://schemas.openxmlformats.org/officeDocument/2006/relationships/package" Target="../embeddings/Microsoft_Visio_Drawing2.vsdx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workbookViewId="0">
      <selection activeCell="B7" sqref="B7"/>
    </sheetView>
  </sheetViews>
  <sheetFormatPr defaultRowHeight="15" x14ac:dyDescent="0.25"/>
  <cols>
    <col min="1" max="1" width="13.85546875" customWidth="1"/>
    <col min="2" max="2" width="76.140625" style="141" customWidth="1"/>
  </cols>
  <sheetData>
    <row r="1" spans="1:2" ht="15.75" thickBot="1" x14ac:dyDescent="0.3">
      <c r="A1" s="77" t="s">
        <v>622</v>
      </c>
      <c r="B1" s="137" t="s">
        <v>623</v>
      </c>
    </row>
    <row r="2" spans="1:2" ht="31.5" customHeight="1" x14ac:dyDescent="0.25">
      <c r="A2" s="74" t="s">
        <v>621</v>
      </c>
      <c r="B2" s="138" t="s">
        <v>620</v>
      </c>
    </row>
    <row r="3" spans="1:2" ht="31.5" customHeight="1" x14ac:dyDescent="0.25">
      <c r="A3" s="54" t="s">
        <v>679</v>
      </c>
      <c r="B3" s="139" t="s">
        <v>680</v>
      </c>
    </row>
    <row r="4" spans="1:2" ht="31.5" customHeight="1" x14ac:dyDescent="0.25">
      <c r="A4" s="54"/>
      <c r="B4" s="139"/>
    </row>
    <row r="5" spans="1:2" ht="31.5" customHeight="1" x14ac:dyDescent="0.25">
      <c r="A5" s="54"/>
      <c r="B5" s="139"/>
    </row>
    <row r="6" spans="1:2" ht="31.5" customHeight="1" x14ac:dyDescent="0.25">
      <c r="A6" s="54"/>
      <c r="B6" s="139"/>
    </row>
    <row r="7" spans="1:2" ht="31.5" customHeight="1" x14ac:dyDescent="0.25">
      <c r="A7" s="54"/>
      <c r="B7" s="139"/>
    </row>
    <row r="8" spans="1:2" ht="31.5" customHeight="1" x14ac:dyDescent="0.25">
      <c r="A8" s="54"/>
      <c r="B8" s="139"/>
    </row>
    <row r="9" spans="1:2" ht="31.5" customHeight="1" x14ac:dyDescent="0.25">
      <c r="A9" s="54"/>
      <c r="B9" s="139"/>
    </row>
    <row r="10" spans="1:2" ht="31.5" customHeight="1" x14ac:dyDescent="0.25">
      <c r="A10" s="54"/>
      <c r="B10" s="139"/>
    </row>
    <row r="11" spans="1:2" ht="31.5" customHeight="1" x14ac:dyDescent="0.25">
      <c r="A11" s="54"/>
      <c r="B11" s="139"/>
    </row>
    <row r="12" spans="1:2" ht="31.5" customHeight="1" x14ac:dyDescent="0.25">
      <c r="A12" s="54"/>
      <c r="B12" s="139"/>
    </row>
    <row r="13" spans="1:2" ht="31.5" customHeight="1" x14ac:dyDescent="0.25">
      <c r="A13" s="54"/>
      <c r="B13" s="139"/>
    </row>
    <row r="14" spans="1:2" ht="31.5" customHeight="1" x14ac:dyDescent="0.25">
      <c r="A14" s="54"/>
      <c r="B14" s="139"/>
    </row>
    <row r="15" spans="1:2" ht="31.5" customHeight="1" x14ac:dyDescent="0.25">
      <c r="A15" s="54"/>
      <c r="B15" s="139"/>
    </row>
    <row r="16" spans="1:2" ht="31.5" customHeight="1" x14ac:dyDescent="0.25">
      <c r="A16" s="54"/>
      <c r="B16" s="139"/>
    </row>
    <row r="17" spans="1:2" ht="31.5" customHeight="1" x14ac:dyDescent="0.25">
      <c r="A17" s="54"/>
      <c r="B17" s="139"/>
    </row>
    <row r="18" spans="1:2" ht="31.5" customHeight="1" x14ac:dyDescent="0.25">
      <c r="A18" s="54"/>
      <c r="B18" s="139"/>
    </row>
    <row r="19" spans="1:2" ht="31.5" customHeight="1" x14ac:dyDescent="0.25">
      <c r="A19" s="54"/>
      <c r="B19" s="139"/>
    </row>
    <row r="20" spans="1:2" ht="31.5" customHeight="1" x14ac:dyDescent="0.25">
      <c r="A20" s="54"/>
      <c r="B20" s="139"/>
    </row>
    <row r="21" spans="1:2" ht="31.5" customHeight="1" x14ac:dyDescent="0.25">
      <c r="A21" s="54"/>
      <c r="B21" s="139"/>
    </row>
    <row r="22" spans="1:2" ht="31.5" customHeight="1" x14ac:dyDescent="0.25">
      <c r="A22" s="54"/>
      <c r="B22" s="139"/>
    </row>
    <row r="23" spans="1:2" ht="31.5" customHeight="1" x14ac:dyDescent="0.25">
      <c r="A23" s="54"/>
      <c r="B23" s="139"/>
    </row>
    <row r="24" spans="1:2" ht="31.5" customHeight="1" x14ac:dyDescent="0.25">
      <c r="A24" s="54"/>
      <c r="B24" s="139"/>
    </row>
    <row r="25" spans="1:2" ht="31.5" customHeight="1" x14ac:dyDescent="0.25">
      <c r="A25" s="54"/>
      <c r="B25" s="139"/>
    </row>
    <row r="26" spans="1:2" ht="31.5" customHeight="1" x14ac:dyDescent="0.25">
      <c r="A26" s="54"/>
      <c r="B26" s="139"/>
    </row>
    <row r="27" spans="1:2" ht="31.5" customHeight="1" x14ac:dyDescent="0.25">
      <c r="A27" s="54"/>
      <c r="B27" s="139"/>
    </row>
    <row r="28" spans="1:2" ht="31.5" customHeight="1" x14ac:dyDescent="0.25">
      <c r="A28" s="54"/>
      <c r="B28" s="139"/>
    </row>
    <row r="29" spans="1:2" ht="31.5" customHeight="1" x14ac:dyDescent="0.25">
      <c r="A29" s="54"/>
      <c r="B29" s="139"/>
    </row>
    <row r="30" spans="1:2" ht="31.5" customHeight="1" x14ac:dyDescent="0.25">
      <c r="A30" s="54"/>
      <c r="B30" s="139"/>
    </row>
    <row r="31" spans="1:2" ht="31.5" customHeight="1" x14ac:dyDescent="0.25">
      <c r="A31" s="54"/>
      <c r="B31" s="139"/>
    </row>
    <row r="32" spans="1:2" ht="31.5" customHeight="1" x14ac:dyDescent="0.25">
      <c r="A32" s="54"/>
      <c r="B32" s="139"/>
    </row>
    <row r="33" spans="1:2" ht="31.5" customHeight="1" x14ac:dyDescent="0.25">
      <c r="A33" s="54"/>
      <c r="B33" s="139"/>
    </row>
    <row r="34" spans="1:2" ht="31.5" customHeight="1" x14ac:dyDescent="0.25">
      <c r="A34" s="54"/>
      <c r="B34" s="139"/>
    </row>
    <row r="35" spans="1:2" ht="31.5" customHeight="1" x14ac:dyDescent="0.25">
      <c r="A35" s="54"/>
      <c r="B35" s="139"/>
    </row>
    <row r="36" spans="1:2" ht="31.5" customHeight="1" thickBot="1" x14ac:dyDescent="0.3">
      <c r="A36" s="56"/>
      <c r="B36" s="1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03"/>
  <sheetViews>
    <sheetView tabSelected="1" zoomScaleNormal="100" workbookViewId="0">
      <selection activeCell="D66" sqref="D66"/>
    </sheetView>
  </sheetViews>
  <sheetFormatPr defaultRowHeight="15" x14ac:dyDescent="0.25"/>
  <cols>
    <col min="1" max="1" width="37.140625" style="1" bestFit="1" customWidth="1"/>
    <col min="2" max="2" width="12.7109375" style="1" customWidth="1"/>
    <col min="3" max="3" width="10.7109375" style="1" customWidth="1"/>
    <col min="4" max="4" width="5.7109375" style="1" customWidth="1"/>
    <col min="5" max="5" width="35.7109375" style="1" customWidth="1"/>
    <col min="6" max="6" width="12.7109375" style="1" customWidth="1"/>
    <col min="7" max="7" width="10.7109375" style="1" customWidth="1"/>
    <col min="8" max="15" width="9.140625" customWidth="1"/>
  </cols>
  <sheetData>
    <row r="1" spans="1:15" x14ac:dyDescent="0.25">
      <c r="A1" s="116" t="s">
        <v>368</v>
      </c>
      <c r="B1" s="117"/>
      <c r="C1" s="117"/>
      <c r="D1" s="117"/>
      <c r="E1" s="117"/>
      <c r="F1" s="117"/>
      <c r="G1" s="118"/>
    </row>
    <row r="2" spans="1:15" x14ac:dyDescent="0.25">
      <c r="A2" s="24"/>
      <c r="B2" s="122" t="s">
        <v>367</v>
      </c>
      <c r="C2" s="122"/>
      <c r="D2" s="122"/>
      <c r="E2" s="122"/>
      <c r="F2" s="122"/>
      <c r="G2" s="123"/>
    </row>
    <row r="3" spans="1:15" ht="15.75" thickBot="1" x14ac:dyDescent="0.3">
      <c r="A3" s="25"/>
      <c r="B3" s="124" t="s">
        <v>369</v>
      </c>
      <c r="C3" s="124"/>
      <c r="D3" s="124"/>
      <c r="E3" s="124"/>
      <c r="F3" s="124"/>
      <c r="G3" s="125"/>
    </row>
    <row r="4" spans="1:15" ht="15.75" thickBot="1" x14ac:dyDescent="0.3">
      <c r="A4" s="26"/>
      <c r="B4" s="27"/>
      <c r="C4" s="27"/>
      <c r="D4" s="27"/>
      <c r="E4" s="27"/>
      <c r="F4" s="27"/>
      <c r="G4" s="27"/>
    </row>
    <row r="5" spans="1:15" x14ac:dyDescent="0.25">
      <c r="A5" s="113" t="s">
        <v>64</v>
      </c>
      <c r="B5" s="114"/>
      <c r="C5" s="114"/>
      <c r="D5" s="114"/>
      <c r="E5" s="114"/>
      <c r="F5" s="114"/>
      <c r="G5" s="115"/>
      <c r="H5" s="23"/>
      <c r="I5" s="23"/>
      <c r="J5" s="23"/>
      <c r="K5" s="23"/>
      <c r="L5" s="23"/>
      <c r="M5" s="23"/>
      <c r="N5" s="23"/>
      <c r="O5" s="23"/>
    </row>
    <row r="6" spans="1:15" x14ac:dyDescent="0.25">
      <c r="A6" s="29" t="s">
        <v>1</v>
      </c>
      <c r="B6" s="93">
        <v>90</v>
      </c>
      <c r="C6" s="17" t="s">
        <v>627</v>
      </c>
      <c r="D6" s="28"/>
      <c r="E6" s="17" t="s">
        <v>7</v>
      </c>
      <c r="F6" s="93">
        <v>5</v>
      </c>
      <c r="G6" s="30" t="s">
        <v>21</v>
      </c>
    </row>
    <row r="7" spans="1:15" x14ac:dyDescent="0.25">
      <c r="A7" s="31" t="s">
        <v>363</v>
      </c>
      <c r="B7" s="8">
        <v>160</v>
      </c>
      <c r="C7" s="7" t="s">
        <v>627</v>
      </c>
      <c r="D7" s="28"/>
      <c r="E7" s="7" t="s">
        <v>8</v>
      </c>
      <c r="F7" s="8">
        <v>20</v>
      </c>
      <c r="G7" s="32" t="s">
        <v>21</v>
      </c>
    </row>
    <row r="8" spans="1:15" x14ac:dyDescent="0.25">
      <c r="A8" s="31" t="s">
        <v>2</v>
      </c>
      <c r="B8" s="8">
        <v>265</v>
      </c>
      <c r="C8" s="7" t="s">
        <v>627</v>
      </c>
      <c r="D8" s="28"/>
      <c r="E8" s="7" t="s">
        <v>9</v>
      </c>
      <c r="F8" s="11">
        <v>3</v>
      </c>
      <c r="G8" s="32" t="s">
        <v>11</v>
      </c>
    </row>
    <row r="9" spans="1:15" x14ac:dyDescent="0.25">
      <c r="A9" s="31" t="s">
        <v>0</v>
      </c>
      <c r="B9" s="8">
        <v>65</v>
      </c>
      <c r="C9" s="7" t="s">
        <v>4</v>
      </c>
      <c r="D9" s="28"/>
      <c r="E9" s="7" t="s">
        <v>10</v>
      </c>
      <c r="F9" s="11">
        <v>3.25</v>
      </c>
      <c r="G9" s="32" t="s">
        <v>11</v>
      </c>
    </row>
    <row r="10" spans="1:15" x14ac:dyDescent="0.25">
      <c r="A10" s="31" t="s">
        <v>13</v>
      </c>
      <c r="B10" s="9">
        <v>0.01</v>
      </c>
      <c r="C10" s="7" t="s">
        <v>5</v>
      </c>
      <c r="D10" s="33"/>
      <c r="E10" s="7" t="s">
        <v>12</v>
      </c>
      <c r="F10" s="8">
        <v>125</v>
      </c>
      <c r="G10" s="32" t="s">
        <v>6</v>
      </c>
      <c r="I10" s="1"/>
      <c r="J10" s="1"/>
      <c r="K10" s="1"/>
    </row>
    <row r="11" spans="1:15" x14ac:dyDescent="0.25">
      <c r="A11" s="31" t="s">
        <v>14</v>
      </c>
      <c r="B11" s="9">
        <v>0.01</v>
      </c>
      <c r="C11" s="7" t="s">
        <v>5</v>
      </c>
      <c r="D11" s="33"/>
      <c r="E11" s="7" t="s">
        <v>15</v>
      </c>
      <c r="F11" s="10">
        <v>0.49</v>
      </c>
      <c r="G11" s="32" t="s">
        <v>5</v>
      </c>
    </row>
    <row r="12" spans="1:15" x14ac:dyDescent="0.25">
      <c r="A12" s="31" t="s">
        <v>3</v>
      </c>
      <c r="B12" s="9">
        <v>0.93</v>
      </c>
      <c r="C12" s="7" t="s">
        <v>5</v>
      </c>
      <c r="D12" s="33"/>
      <c r="E12" s="7" t="s">
        <v>37</v>
      </c>
      <c r="F12" s="8">
        <v>360</v>
      </c>
      <c r="G12" s="32" t="s">
        <v>38</v>
      </c>
    </row>
    <row r="13" spans="1:15" x14ac:dyDescent="0.25">
      <c r="A13" s="31" t="s">
        <v>47</v>
      </c>
      <c r="B13" s="9">
        <v>0.85</v>
      </c>
      <c r="C13" s="7" t="s">
        <v>5</v>
      </c>
      <c r="D13" s="33"/>
      <c r="E13" s="7" t="s">
        <v>564</v>
      </c>
      <c r="F13" s="8">
        <v>0</v>
      </c>
      <c r="G13" s="32" t="s">
        <v>21</v>
      </c>
    </row>
    <row r="14" spans="1:15" x14ac:dyDescent="0.25">
      <c r="A14" s="31" t="s">
        <v>630</v>
      </c>
      <c r="B14" s="86">
        <v>47</v>
      </c>
      <c r="C14" s="7" t="s">
        <v>245</v>
      </c>
      <c r="D14" s="33"/>
      <c r="E14" s="7" t="s">
        <v>631</v>
      </c>
      <c r="F14" s="95">
        <v>63</v>
      </c>
      <c r="G14" s="32" t="s">
        <v>245</v>
      </c>
    </row>
    <row r="15" spans="1:15" ht="15.75" thickBot="1" x14ac:dyDescent="0.3">
      <c r="A15" s="34" t="s">
        <v>632</v>
      </c>
      <c r="B15" s="94">
        <v>60</v>
      </c>
      <c r="C15" s="35" t="s">
        <v>245</v>
      </c>
      <c r="D15" s="36"/>
      <c r="E15" s="35" t="s">
        <v>628</v>
      </c>
      <c r="F15" s="96">
        <v>1</v>
      </c>
      <c r="G15" s="38" t="s">
        <v>629</v>
      </c>
    </row>
    <row r="16" spans="1:15" ht="15.75" thickBot="1" x14ac:dyDescent="0.3"/>
    <row r="17" spans="1:7" x14ac:dyDescent="0.25">
      <c r="A17" s="113" t="s">
        <v>16</v>
      </c>
      <c r="B17" s="114"/>
      <c r="C17" s="114"/>
      <c r="D17" s="114"/>
      <c r="E17" s="114"/>
      <c r="F17" s="114"/>
      <c r="G17" s="115"/>
    </row>
    <row r="18" spans="1:7" x14ac:dyDescent="0.25">
      <c r="A18" s="31" t="s">
        <v>364</v>
      </c>
      <c r="B18" s="20">
        <f>VinMin*DutyMax/((1-DutyMax)*VoutMax)</f>
        <v>6.1143939314366174</v>
      </c>
      <c r="C18" s="7" t="s">
        <v>22</v>
      </c>
      <c r="D18" s="28"/>
      <c r="E18" s="7" t="s">
        <v>365</v>
      </c>
      <c r="F18" s="8">
        <v>6</v>
      </c>
      <c r="G18" s="32" t="s">
        <v>22</v>
      </c>
    </row>
    <row r="19" spans="1:7" x14ac:dyDescent="0.25">
      <c r="A19" s="31" t="s">
        <v>543</v>
      </c>
      <c r="B19" s="21">
        <f>ROUND(VinMin*DutyMaxVinmin/(2*FminACF*10^3*((IoutMax/((1-DutyMaxVinmin)*Nch))-InegVinminVoutmin))*10^6,1)</f>
        <v>125.9</v>
      </c>
      <c r="C19" s="7" t="s">
        <v>34</v>
      </c>
      <c r="D19" s="28"/>
      <c r="E19" s="7" t="s">
        <v>30</v>
      </c>
      <c r="F19" s="8">
        <v>120</v>
      </c>
      <c r="G19" s="32" t="s">
        <v>34</v>
      </c>
    </row>
    <row r="20" spans="1:7" x14ac:dyDescent="0.25">
      <c r="A20" s="31" t="s">
        <v>565</v>
      </c>
      <c r="B20" s="19">
        <f>0.02*Lch</f>
        <v>2.4</v>
      </c>
      <c r="C20" s="7" t="s">
        <v>34</v>
      </c>
      <c r="D20" s="28"/>
      <c r="E20" s="7" t="s">
        <v>31</v>
      </c>
      <c r="F20" s="8">
        <v>2.5</v>
      </c>
      <c r="G20" s="32" t="s">
        <v>34</v>
      </c>
    </row>
    <row r="21" spans="1:7" x14ac:dyDescent="0.25">
      <c r="A21" s="31" t="s">
        <v>366</v>
      </c>
      <c r="B21" s="22">
        <f>RtRec</f>
        <v>80</v>
      </c>
      <c r="C21" s="7" t="s">
        <v>387</v>
      </c>
      <c r="D21" s="28"/>
      <c r="E21" s="7" t="s">
        <v>51</v>
      </c>
      <c r="F21" s="8">
        <v>100</v>
      </c>
      <c r="G21" s="32" t="s">
        <v>387</v>
      </c>
    </row>
    <row r="22" spans="1:7" ht="15.75" thickBot="1" x14ac:dyDescent="0.3">
      <c r="A22" s="85"/>
      <c r="B22" s="36"/>
      <c r="C22" s="36"/>
      <c r="D22" s="41"/>
      <c r="E22" s="35" t="s">
        <v>52</v>
      </c>
      <c r="F22" s="46">
        <f>1/(RtCh*10^3*100*10^-12)/1000</f>
        <v>100.00000000000001</v>
      </c>
      <c r="G22" s="38" t="s">
        <v>6</v>
      </c>
    </row>
    <row r="23" spans="1:7" ht="15.75" thickBot="1" x14ac:dyDescent="0.3">
      <c r="A23" s="28"/>
      <c r="B23" s="51"/>
      <c r="C23" s="26"/>
      <c r="D23" s="26"/>
      <c r="E23" s="26"/>
      <c r="F23" s="26"/>
      <c r="G23" s="28"/>
    </row>
    <row r="24" spans="1:7" x14ac:dyDescent="0.25">
      <c r="A24" s="113" t="s">
        <v>17</v>
      </c>
      <c r="B24" s="114"/>
      <c r="C24" s="114"/>
      <c r="D24" s="114"/>
      <c r="E24" s="114"/>
      <c r="F24" s="114"/>
      <c r="G24" s="115"/>
    </row>
    <row r="25" spans="1:7" x14ac:dyDescent="0.25">
      <c r="A25" s="31" t="s">
        <v>357</v>
      </c>
      <c r="B25" s="12">
        <f>ROUND(((VinMax+VoutMax*Nch)+SpikePri)/SwDerate,0)</f>
        <v>583</v>
      </c>
      <c r="C25" s="7" t="s">
        <v>21</v>
      </c>
      <c r="D25" s="16"/>
      <c r="E25" s="7" t="s">
        <v>125</v>
      </c>
      <c r="F25" s="8">
        <v>365</v>
      </c>
      <c r="G25" s="32" t="s">
        <v>389</v>
      </c>
    </row>
    <row r="26" spans="1:7" x14ac:dyDescent="0.25">
      <c r="A26" s="31" t="s">
        <v>18</v>
      </c>
      <c r="B26" s="8">
        <v>650</v>
      </c>
      <c r="C26" s="7" t="s">
        <v>21</v>
      </c>
      <c r="D26" s="28"/>
      <c r="E26" s="7" t="s">
        <v>412</v>
      </c>
      <c r="F26" s="8">
        <v>30</v>
      </c>
      <c r="G26" s="32" t="s">
        <v>29</v>
      </c>
    </row>
    <row r="27" spans="1:7" x14ac:dyDescent="0.25">
      <c r="A27" s="31" t="s">
        <v>358</v>
      </c>
      <c r="B27" s="22">
        <f>ROUND(((VinMax/Nch+VoutMax)+SpikeSec)/SwDerate,0)</f>
        <v>125</v>
      </c>
      <c r="C27" s="7" t="s">
        <v>21</v>
      </c>
      <c r="D27" s="28"/>
      <c r="E27" s="7" t="s">
        <v>413</v>
      </c>
      <c r="F27" s="8">
        <v>30</v>
      </c>
      <c r="G27" s="32" t="s">
        <v>29</v>
      </c>
    </row>
    <row r="28" spans="1:7" x14ac:dyDescent="0.25">
      <c r="A28" s="31" t="s">
        <v>19</v>
      </c>
      <c r="B28" s="8">
        <v>150</v>
      </c>
      <c r="C28" s="7" t="s">
        <v>21</v>
      </c>
      <c r="D28" s="28"/>
      <c r="E28" s="7" t="s">
        <v>463</v>
      </c>
      <c r="F28" s="19">
        <f>PHSConduction</f>
        <v>0.4923040984600921</v>
      </c>
      <c r="G28" s="44" t="s">
        <v>4</v>
      </c>
    </row>
    <row r="29" spans="1:7" x14ac:dyDescent="0.25">
      <c r="A29" s="31" t="s">
        <v>20</v>
      </c>
      <c r="B29" s="10">
        <v>0.9</v>
      </c>
      <c r="C29" s="7" t="s">
        <v>5</v>
      </c>
      <c r="D29" s="28"/>
      <c r="E29" s="17" t="s">
        <v>24</v>
      </c>
      <c r="F29" s="18">
        <v>30</v>
      </c>
      <c r="G29" s="32" t="s">
        <v>21</v>
      </c>
    </row>
    <row r="30" spans="1:7" x14ac:dyDescent="0.25">
      <c r="A30" s="31" t="s">
        <v>23</v>
      </c>
      <c r="B30" s="8">
        <v>30</v>
      </c>
      <c r="C30" s="7" t="s">
        <v>21</v>
      </c>
      <c r="D30" s="28"/>
      <c r="E30" s="7" t="s">
        <v>126</v>
      </c>
      <c r="F30" s="8">
        <v>11</v>
      </c>
      <c r="G30" s="32" t="s">
        <v>389</v>
      </c>
    </row>
    <row r="31" spans="1:7" x14ac:dyDescent="0.25">
      <c r="A31" s="39"/>
      <c r="B31" s="28"/>
      <c r="C31" s="28"/>
      <c r="D31" s="28"/>
      <c r="E31" s="7" t="s">
        <v>25</v>
      </c>
      <c r="F31" s="8">
        <v>1000</v>
      </c>
      <c r="G31" s="32" t="s">
        <v>29</v>
      </c>
    </row>
    <row r="32" spans="1:7" x14ac:dyDescent="0.25">
      <c r="A32" s="31" t="s">
        <v>124</v>
      </c>
      <c r="B32" s="8">
        <v>299</v>
      </c>
      <c r="C32" s="7" t="s">
        <v>389</v>
      </c>
      <c r="D32" s="28"/>
      <c r="E32" s="7" t="s">
        <v>26</v>
      </c>
      <c r="F32" s="8">
        <v>3500</v>
      </c>
      <c r="G32" s="32" t="s">
        <v>29</v>
      </c>
    </row>
    <row r="33" spans="1:7" x14ac:dyDescent="0.25">
      <c r="A33" s="31" t="s">
        <v>410</v>
      </c>
      <c r="B33" s="8">
        <v>30</v>
      </c>
      <c r="C33" s="7" t="s">
        <v>29</v>
      </c>
      <c r="D33" s="28"/>
      <c r="E33" s="7" t="s">
        <v>462</v>
      </c>
      <c r="F33" s="19">
        <f>PSecCond</f>
        <v>0.39324731509337801</v>
      </c>
      <c r="G33" s="44" t="s">
        <v>4</v>
      </c>
    </row>
    <row r="34" spans="1:7" x14ac:dyDescent="0.25">
      <c r="A34" s="31" t="s">
        <v>411</v>
      </c>
      <c r="B34" s="8">
        <v>30</v>
      </c>
      <c r="C34" s="7" t="s">
        <v>29</v>
      </c>
      <c r="D34" s="28"/>
      <c r="E34" s="17" t="s">
        <v>27</v>
      </c>
      <c r="F34" s="67">
        <v>5</v>
      </c>
      <c r="G34" s="32" t="s">
        <v>29</v>
      </c>
    </row>
    <row r="35" spans="1:7" ht="15.75" thickBot="1" x14ac:dyDescent="0.3">
      <c r="A35" s="35" t="s">
        <v>461</v>
      </c>
      <c r="B35" s="47">
        <f>PLSConduction</f>
        <v>0.2969215838710102</v>
      </c>
      <c r="C35" s="35" t="s">
        <v>4</v>
      </c>
      <c r="D35" s="41"/>
      <c r="E35" s="35" t="s">
        <v>28</v>
      </c>
      <c r="F35" s="37">
        <v>15</v>
      </c>
      <c r="G35" s="38" t="s">
        <v>29</v>
      </c>
    </row>
    <row r="36" spans="1:7" ht="15.75" thickBot="1" x14ac:dyDescent="0.3">
      <c r="A36" s="28"/>
      <c r="B36" s="51"/>
      <c r="C36" s="26"/>
      <c r="D36" s="26"/>
      <c r="E36" s="26"/>
      <c r="F36" s="26"/>
      <c r="G36" s="28"/>
    </row>
    <row r="37" spans="1:7" x14ac:dyDescent="0.25">
      <c r="A37" s="113" t="s">
        <v>57</v>
      </c>
      <c r="B37" s="114"/>
      <c r="C37" s="114"/>
      <c r="D37" s="114"/>
      <c r="E37" s="114"/>
      <c r="F37" s="114"/>
      <c r="G37" s="115"/>
    </row>
    <row r="38" spans="1:7" x14ac:dyDescent="0.25">
      <c r="A38" s="31" t="s">
        <v>362</v>
      </c>
      <c r="B38" s="20">
        <f>CclampRec</f>
        <v>0.13917994643558163</v>
      </c>
      <c r="C38" s="7" t="s">
        <v>56</v>
      </c>
      <c r="D38" s="28"/>
      <c r="E38" s="7" t="s">
        <v>59</v>
      </c>
      <c r="F38" s="22">
        <f>Nch*VoutmaxTol/F40</f>
        <v>151.49999999999997</v>
      </c>
      <c r="G38" s="32" t="s">
        <v>21</v>
      </c>
    </row>
    <row r="39" spans="1:7" x14ac:dyDescent="0.25">
      <c r="A39" s="31" t="s">
        <v>58</v>
      </c>
      <c r="B39" s="8">
        <v>0.2</v>
      </c>
      <c r="C39" s="7" t="s">
        <v>56</v>
      </c>
      <c r="D39" s="28"/>
      <c r="E39" s="7" t="s">
        <v>60</v>
      </c>
      <c r="F39" s="8">
        <v>200</v>
      </c>
      <c r="G39" s="32" t="s">
        <v>21</v>
      </c>
    </row>
    <row r="40" spans="1:7" ht="15.75" thickBot="1" x14ac:dyDescent="0.3">
      <c r="A40" s="34" t="s">
        <v>62</v>
      </c>
      <c r="B40" s="37">
        <v>6</v>
      </c>
      <c r="C40" s="35" t="s">
        <v>389</v>
      </c>
      <c r="D40" s="41"/>
      <c r="E40" s="35" t="s">
        <v>61</v>
      </c>
      <c r="F40" s="43">
        <v>0.8</v>
      </c>
      <c r="G40" s="38" t="s">
        <v>5</v>
      </c>
    </row>
    <row r="41" spans="1:7" ht="15.75" thickBot="1" x14ac:dyDescent="0.3"/>
    <row r="42" spans="1:7" x14ac:dyDescent="0.25">
      <c r="A42" s="113" t="s">
        <v>401</v>
      </c>
      <c r="B42" s="114"/>
      <c r="C42" s="114"/>
      <c r="D42" s="114"/>
      <c r="E42" s="114"/>
      <c r="F42" s="114"/>
      <c r="G42" s="115"/>
    </row>
    <row r="43" spans="1:7" x14ac:dyDescent="0.25">
      <c r="A43" s="29" t="s">
        <v>402</v>
      </c>
      <c r="B43" s="60" t="s">
        <v>404</v>
      </c>
      <c r="C43" s="17" t="s">
        <v>403</v>
      </c>
      <c r="D43" s="28"/>
      <c r="E43" s="7" t="s">
        <v>507</v>
      </c>
      <c r="F43" s="19">
        <f>IF(CSOption="CT",RCST*10^-3*ILSSWRMSVinminVoutmaxIoutVoutMax^2,PRSACF)</f>
        <v>0.24826219387208207</v>
      </c>
      <c r="G43" s="32" t="s">
        <v>4</v>
      </c>
    </row>
    <row r="44" spans="1:7" x14ac:dyDescent="0.25">
      <c r="A44" s="31" t="s">
        <v>406</v>
      </c>
      <c r="B44" s="10">
        <v>0.8</v>
      </c>
      <c r="C44" s="7" t="s">
        <v>5</v>
      </c>
      <c r="D44" s="28"/>
      <c r="E44" s="28"/>
      <c r="F44" s="28"/>
      <c r="G44" s="44"/>
    </row>
    <row r="45" spans="1:7" x14ac:dyDescent="0.25">
      <c r="A45" s="31" t="s">
        <v>407</v>
      </c>
      <c r="B45" s="22">
        <f>RSRec</f>
        <v>256.49309039740302</v>
      </c>
      <c r="C45" s="7" t="s">
        <v>389</v>
      </c>
      <c r="D45" s="28"/>
      <c r="E45" s="7" t="s">
        <v>82</v>
      </c>
      <c r="F45" s="22">
        <f>RoppRec</f>
        <v>412.46150707537436</v>
      </c>
      <c r="G45" s="32" t="s">
        <v>388</v>
      </c>
    </row>
    <row r="46" spans="1:7" x14ac:dyDescent="0.25">
      <c r="A46" s="48" t="s">
        <v>75</v>
      </c>
      <c r="B46" s="14">
        <v>250</v>
      </c>
      <c r="C46" s="13" t="s">
        <v>389</v>
      </c>
      <c r="D46" s="28"/>
      <c r="E46" s="13" t="s">
        <v>89</v>
      </c>
      <c r="F46" s="14">
        <v>412</v>
      </c>
      <c r="G46" s="49" t="s">
        <v>388</v>
      </c>
    </row>
    <row r="47" spans="1:7" x14ac:dyDescent="0.25">
      <c r="A47" s="119" t="s">
        <v>400</v>
      </c>
      <c r="B47" s="120"/>
      <c r="C47" s="120"/>
      <c r="D47" s="120"/>
      <c r="E47" s="120"/>
      <c r="F47" s="120"/>
      <c r="G47" s="121"/>
    </row>
    <row r="48" spans="1:7" x14ac:dyDescent="0.25">
      <c r="A48" s="48" t="s">
        <v>77</v>
      </c>
      <c r="B48" s="14">
        <v>100</v>
      </c>
      <c r="C48" s="13" t="s">
        <v>78</v>
      </c>
      <c r="D48" s="28"/>
      <c r="E48" s="13" t="s">
        <v>83</v>
      </c>
      <c r="F48" s="59">
        <f>RburdenSuggest</f>
        <v>10.190493307301363</v>
      </c>
      <c r="G48" s="49" t="s">
        <v>388</v>
      </c>
    </row>
    <row r="49" spans="1:15" x14ac:dyDescent="0.25">
      <c r="A49" s="31" t="s">
        <v>272</v>
      </c>
      <c r="B49" s="8">
        <v>3</v>
      </c>
      <c r="C49" s="7" t="s">
        <v>389</v>
      </c>
      <c r="D49" s="13"/>
      <c r="E49" s="7" t="s">
        <v>79</v>
      </c>
      <c r="F49" s="8">
        <v>10.199999999999999</v>
      </c>
      <c r="G49" s="32" t="s">
        <v>388</v>
      </c>
    </row>
    <row r="50" spans="1:15" ht="15.75" thickBot="1" x14ac:dyDescent="0.3">
      <c r="A50" s="34" t="s">
        <v>566</v>
      </c>
      <c r="B50" s="42">
        <f>10*RBCh</f>
        <v>102</v>
      </c>
      <c r="C50" s="35" t="s">
        <v>388</v>
      </c>
      <c r="D50" s="61"/>
      <c r="E50" s="35" t="s">
        <v>464</v>
      </c>
      <c r="F50" s="37">
        <v>102</v>
      </c>
      <c r="G50" s="38" t="s">
        <v>388</v>
      </c>
    </row>
    <row r="51" spans="1:15" ht="15.75" thickBot="1" x14ac:dyDescent="0.3">
      <c r="A51" s="2"/>
      <c r="B51" s="2"/>
      <c r="C51" s="2"/>
      <c r="D51" s="2"/>
      <c r="E51" s="2"/>
      <c r="F51" s="2"/>
      <c r="G51" s="2"/>
    </row>
    <row r="52" spans="1:15" x14ac:dyDescent="0.25">
      <c r="A52" s="113" t="s">
        <v>92</v>
      </c>
      <c r="B52" s="114"/>
      <c r="C52" s="114"/>
      <c r="D52" s="114"/>
      <c r="E52" s="114"/>
      <c r="F52" s="114"/>
      <c r="G52" s="115"/>
    </row>
    <row r="53" spans="1:15" x14ac:dyDescent="0.25">
      <c r="A53" s="31" t="s">
        <v>93</v>
      </c>
      <c r="B53" s="8">
        <v>0.8</v>
      </c>
      <c r="C53" s="7" t="s">
        <v>11</v>
      </c>
      <c r="D53" s="28"/>
      <c r="E53" s="7" t="s">
        <v>96</v>
      </c>
      <c r="F53" s="8">
        <v>5.6</v>
      </c>
      <c r="G53" s="32" t="s">
        <v>21</v>
      </c>
      <c r="I53" s="2"/>
      <c r="J53" s="2"/>
      <c r="K53" s="2"/>
      <c r="L53" s="2"/>
      <c r="M53" s="2"/>
      <c r="N53" s="2"/>
      <c r="O53" s="2"/>
    </row>
    <row r="54" spans="1:15" x14ac:dyDescent="0.25">
      <c r="A54" s="39"/>
      <c r="B54" s="28"/>
      <c r="C54" s="28"/>
      <c r="D54" s="28"/>
      <c r="E54" s="7" t="s">
        <v>671</v>
      </c>
      <c r="F54" s="20">
        <f>RZ2Rec</f>
        <v>154.08695652173913</v>
      </c>
      <c r="G54" s="32" t="s">
        <v>387</v>
      </c>
    </row>
    <row r="55" spans="1:15" x14ac:dyDescent="0.25">
      <c r="A55" s="31" t="s">
        <v>500</v>
      </c>
      <c r="B55" s="12">
        <f>INDEX('Additional Calculations'!K35:K71,MATCH(MIN('Additional Calculations'!Z35:Z71),'Additional Calculations'!Z35:Z71,0))</f>
        <v>23</v>
      </c>
      <c r="C55" s="7" t="s">
        <v>78</v>
      </c>
      <c r="D55" s="28"/>
      <c r="E55" s="7" t="s">
        <v>672</v>
      </c>
      <c r="F55" s="8">
        <v>154</v>
      </c>
      <c r="G55" s="32" t="s">
        <v>387</v>
      </c>
    </row>
    <row r="56" spans="1:15" x14ac:dyDescent="0.25">
      <c r="A56" s="31" t="s">
        <v>503</v>
      </c>
      <c r="B56" s="8">
        <v>24</v>
      </c>
      <c r="C56" s="7" t="s">
        <v>78</v>
      </c>
      <c r="D56" s="28"/>
      <c r="E56" s="7" t="s">
        <v>673</v>
      </c>
      <c r="F56" s="20">
        <f>RZ1Rec</f>
        <v>7.9961538461538479</v>
      </c>
      <c r="G56" s="32" t="s">
        <v>387</v>
      </c>
    </row>
    <row r="57" spans="1:15" x14ac:dyDescent="0.25">
      <c r="A57" s="31" t="s">
        <v>501</v>
      </c>
      <c r="B57" s="12">
        <f>ROUND(B56/Nch,0)</f>
        <v>4</v>
      </c>
      <c r="C57" s="7" t="s">
        <v>78</v>
      </c>
      <c r="D57" s="28"/>
      <c r="E57" s="7" t="s">
        <v>674</v>
      </c>
      <c r="F57" s="8">
        <v>8</v>
      </c>
      <c r="G57" s="32" t="s">
        <v>387</v>
      </c>
    </row>
    <row r="58" spans="1:15" x14ac:dyDescent="0.25">
      <c r="A58" s="31" t="s">
        <v>94</v>
      </c>
      <c r="B58" s="8">
        <v>4</v>
      </c>
      <c r="C58" s="7" t="s">
        <v>78</v>
      </c>
      <c r="D58" s="28"/>
      <c r="E58" s="7" t="s">
        <v>675</v>
      </c>
      <c r="F58" s="20">
        <f>RNoZ2Rec</f>
        <v>-179.34782608695659</v>
      </c>
      <c r="G58" s="32" t="s">
        <v>387</v>
      </c>
    </row>
    <row r="59" spans="1:15" x14ac:dyDescent="0.25">
      <c r="A59" s="31" t="s">
        <v>502</v>
      </c>
      <c r="B59" s="12">
        <f>ROUNDDOWN(Nsec*16/VoutMax,0)</f>
        <v>3</v>
      </c>
      <c r="C59" s="7" t="s">
        <v>78</v>
      </c>
      <c r="D59" s="28"/>
      <c r="E59" s="7" t="s">
        <v>676</v>
      </c>
      <c r="F59" s="8">
        <v>105</v>
      </c>
      <c r="G59" s="32" t="s">
        <v>387</v>
      </c>
    </row>
    <row r="60" spans="1:15" x14ac:dyDescent="0.25">
      <c r="A60" s="31" t="s">
        <v>95</v>
      </c>
      <c r="B60" s="8">
        <v>3</v>
      </c>
      <c r="C60" s="7" t="s">
        <v>78</v>
      </c>
      <c r="D60" s="28"/>
      <c r="E60" s="7" t="s">
        <v>677</v>
      </c>
      <c r="F60" s="19">
        <f>RNoZ1Rec</f>
        <v>1.7796610169491525</v>
      </c>
      <c r="G60" s="32" t="s">
        <v>387</v>
      </c>
    </row>
    <row r="61" spans="1:15" ht="15.75" thickBot="1" x14ac:dyDescent="0.3">
      <c r="A61" s="34" t="s">
        <v>567</v>
      </c>
      <c r="B61" s="42">
        <f>NauxHigh</f>
        <v>8</v>
      </c>
      <c r="C61" s="35" t="s">
        <v>78</v>
      </c>
      <c r="D61" s="41"/>
      <c r="E61" s="35" t="s">
        <v>678</v>
      </c>
      <c r="F61" s="37">
        <v>1.7</v>
      </c>
      <c r="G61" s="38" t="s">
        <v>387</v>
      </c>
      <c r="I61" s="2"/>
      <c r="J61" s="2"/>
      <c r="K61" s="2"/>
      <c r="L61" s="2"/>
      <c r="M61" s="2"/>
      <c r="N61" s="2"/>
      <c r="O61" s="2"/>
    </row>
    <row r="62" spans="1:15" ht="15.75" thickBot="1" x14ac:dyDescent="0.3">
      <c r="A62" s="2"/>
      <c r="B62" s="2"/>
      <c r="C62" s="2"/>
      <c r="D62" s="2"/>
      <c r="E62" s="2"/>
      <c r="F62" s="2"/>
      <c r="G62" s="2"/>
    </row>
    <row r="63" spans="1:15" x14ac:dyDescent="0.25">
      <c r="A63" s="113" t="s">
        <v>128</v>
      </c>
      <c r="B63" s="114"/>
      <c r="C63" s="114"/>
      <c r="D63" s="114"/>
      <c r="E63" s="114"/>
      <c r="F63" s="114"/>
      <c r="G63" s="115"/>
    </row>
    <row r="64" spans="1:15" x14ac:dyDescent="0.25">
      <c r="A64" s="31" t="s">
        <v>93</v>
      </c>
      <c r="B64" s="8">
        <v>0.3</v>
      </c>
      <c r="C64" s="7" t="s">
        <v>11</v>
      </c>
      <c r="D64" s="28"/>
      <c r="E64" s="7" t="s">
        <v>681</v>
      </c>
      <c r="F64" s="20">
        <f>RDTH1Rec</f>
        <v>606.33976288876249</v>
      </c>
      <c r="G64" s="32" t="s">
        <v>387</v>
      </c>
    </row>
    <row r="65" spans="1:9" x14ac:dyDescent="0.25">
      <c r="A65" s="7" t="s">
        <v>472</v>
      </c>
      <c r="B65" s="8">
        <v>287</v>
      </c>
      <c r="C65" s="7" t="s">
        <v>6</v>
      </c>
      <c r="D65" s="28"/>
      <c r="E65" s="7" t="s">
        <v>682</v>
      </c>
      <c r="F65" s="11">
        <v>600</v>
      </c>
      <c r="G65" s="32" t="s">
        <v>387</v>
      </c>
    </row>
    <row r="66" spans="1:9" x14ac:dyDescent="0.25">
      <c r="A66" s="7" t="s">
        <v>473</v>
      </c>
      <c r="B66" s="8">
        <v>184</v>
      </c>
      <c r="C66" s="7" t="s">
        <v>6</v>
      </c>
      <c r="D66" s="28"/>
      <c r="E66" s="7" t="s">
        <v>683</v>
      </c>
      <c r="F66" s="20">
        <f>RDTH2Rec</f>
        <v>19.852249997323923</v>
      </c>
      <c r="G66" s="32" t="s">
        <v>387</v>
      </c>
    </row>
    <row r="67" spans="1:9" ht="15.75" thickBot="1" x14ac:dyDescent="0.3">
      <c r="A67" s="40"/>
      <c r="B67" s="41"/>
      <c r="C67" s="41"/>
      <c r="D67" s="41"/>
      <c r="E67" s="35" t="s">
        <v>684</v>
      </c>
      <c r="F67" s="69">
        <v>20</v>
      </c>
      <c r="G67" s="38" t="s">
        <v>387</v>
      </c>
    </row>
    <row r="68" spans="1:9" ht="15.75" thickBot="1" x14ac:dyDescent="0.3">
      <c r="A68" s="28"/>
      <c r="B68" s="28"/>
      <c r="C68" s="28"/>
      <c r="D68" s="28"/>
      <c r="E68" s="28"/>
      <c r="F68" s="71"/>
      <c r="G68" s="28"/>
    </row>
    <row r="69" spans="1:9" x14ac:dyDescent="0.25">
      <c r="A69" s="113" t="s">
        <v>279</v>
      </c>
      <c r="B69" s="114"/>
      <c r="C69" s="114"/>
      <c r="D69" s="114"/>
      <c r="E69" s="114"/>
      <c r="F69" s="114"/>
      <c r="G69" s="115"/>
    </row>
    <row r="70" spans="1:9" x14ac:dyDescent="0.25">
      <c r="A70" s="31" t="s">
        <v>280</v>
      </c>
      <c r="B70" s="8">
        <v>0.10349999999999999</v>
      </c>
      <c r="C70" s="7"/>
      <c r="D70" s="28"/>
      <c r="E70" s="7" t="s">
        <v>287</v>
      </c>
      <c r="F70" s="8">
        <v>60</v>
      </c>
      <c r="G70" s="32" t="s">
        <v>292</v>
      </c>
    </row>
    <row r="71" spans="1:9" x14ac:dyDescent="0.25">
      <c r="A71" s="31" t="s">
        <v>281</v>
      </c>
      <c r="B71" s="8">
        <v>7.1780000000000004E-7</v>
      </c>
      <c r="C71" s="7"/>
      <c r="D71" s="28"/>
      <c r="E71" s="7" t="s">
        <v>288</v>
      </c>
      <c r="F71" s="8">
        <v>25.1</v>
      </c>
      <c r="G71" s="32" t="s">
        <v>293</v>
      </c>
    </row>
    <row r="72" spans="1:9" x14ac:dyDescent="0.25">
      <c r="A72" s="31" t="s">
        <v>282</v>
      </c>
      <c r="B72" s="8">
        <v>2.323</v>
      </c>
      <c r="C72" s="7"/>
      <c r="D72" s="28"/>
      <c r="E72" s="7" t="s">
        <v>289</v>
      </c>
      <c r="F72" s="8">
        <v>1500</v>
      </c>
      <c r="G72" s="32" t="s">
        <v>476</v>
      </c>
    </row>
    <row r="73" spans="1:9" x14ac:dyDescent="0.25">
      <c r="A73" s="31" t="s">
        <v>283</v>
      </c>
      <c r="B73" s="8">
        <v>3000</v>
      </c>
      <c r="C73" s="7"/>
      <c r="D73" s="28"/>
      <c r="E73" s="7" t="s">
        <v>290</v>
      </c>
      <c r="F73" s="8">
        <v>8.8000000000000007</v>
      </c>
      <c r="G73" s="32" t="s">
        <v>293</v>
      </c>
    </row>
    <row r="74" spans="1:9" x14ac:dyDescent="0.25">
      <c r="A74" s="31" t="s">
        <v>284</v>
      </c>
      <c r="B74" s="8">
        <v>2.7589999999999998E-5</v>
      </c>
      <c r="C74" s="7"/>
      <c r="D74" s="28"/>
      <c r="E74" s="7" t="s">
        <v>291</v>
      </c>
      <c r="F74" s="8">
        <v>18</v>
      </c>
      <c r="G74" s="32" t="s">
        <v>293</v>
      </c>
    </row>
    <row r="75" spans="1:9" x14ac:dyDescent="0.25">
      <c r="A75" s="31" t="s">
        <v>285</v>
      </c>
      <c r="B75" s="8">
        <v>2.3620000000000001</v>
      </c>
      <c r="C75" s="7"/>
      <c r="D75" s="28"/>
      <c r="E75" s="7" t="s">
        <v>518</v>
      </c>
      <c r="F75" s="8">
        <v>3.1</v>
      </c>
      <c r="G75" s="32" t="s">
        <v>293</v>
      </c>
      <c r="I75" t="s">
        <v>479</v>
      </c>
    </row>
    <row r="76" spans="1:9" x14ac:dyDescent="0.25">
      <c r="A76" s="7" t="s">
        <v>286</v>
      </c>
      <c r="B76" s="8">
        <v>1.7430000000000001</v>
      </c>
      <c r="C76" s="7"/>
      <c r="D76" s="28"/>
      <c r="E76" s="7" t="s">
        <v>505</v>
      </c>
      <c r="F76" s="8">
        <v>0</v>
      </c>
      <c r="G76" s="32" t="s">
        <v>293</v>
      </c>
    </row>
    <row r="77" spans="1:9" x14ac:dyDescent="0.25">
      <c r="A77" s="7" t="s">
        <v>511</v>
      </c>
      <c r="B77" s="19">
        <f>(Lch*10^-6*(ImaxACFVinminVoutmaxIoutMVout+InegVinminVoutmax))/(NpTurns*Ae*10^-6)</f>
        <v>0.21284697676393469</v>
      </c>
      <c r="C77" s="7" t="s">
        <v>510</v>
      </c>
      <c r="D77" s="28"/>
      <c r="E77" s="7" t="s">
        <v>303</v>
      </c>
      <c r="F77" s="19">
        <f>gapcalc</f>
        <v>0.35354480702687746</v>
      </c>
      <c r="G77" s="32" t="s">
        <v>293</v>
      </c>
    </row>
    <row r="78" spans="1:9" ht="15.75" thickBot="1" x14ac:dyDescent="0.3">
      <c r="A78" s="41"/>
      <c r="B78" s="73"/>
      <c r="C78" s="41"/>
      <c r="D78" s="41"/>
      <c r="E78" s="35" t="s">
        <v>309</v>
      </c>
      <c r="F78" s="47">
        <f>PcoreSQ22</f>
        <v>1.6253820039630196</v>
      </c>
      <c r="G78" s="38" t="s">
        <v>4</v>
      </c>
    </row>
    <row r="79" spans="1:9" ht="15.75" thickBot="1" x14ac:dyDescent="0.3">
      <c r="A79" s="2"/>
      <c r="B79" s="2"/>
      <c r="C79" s="2"/>
      <c r="D79" s="2"/>
      <c r="E79" s="2"/>
      <c r="F79" s="2"/>
      <c r="G79" s="2"/>
    </row>
    <row r="80" spans="1:9" x14ac:dyDescent="0.25">
      <c r="A80" s="113" t="s">
        <v>465</v>
      </c>
      <c r="B80" s="114"/>
      <c r="C80" s="114"/>
      <c r="D80" s="114"/>
      <c r="E80" s="114"/>
      <c r="F80" s="114"/>
      <c r="G80" s="115"/>
    </row>
    <row r="81" spans="1:7" x14ac:dyDescent="0.25">
      <c r="A81"/>
      <c r="B81"/>
      <c r="C81"/>
      <c r="D81" s="28"/>
      <c r="E81" s="7" t="s">
        <v>316</v>
      </c>
      <c r="F81" s="8">
        <v>15</v>
      </c>
      <c r="G81" s="32" t="s">
        <v>21</v>
      </c>
    </row>
    <row r="82" spans="1:7" x14ac:dyDescent="0.25">
      <c r="A82" s="31" t="s">
        <v>504</v>
      </c>
      <c r="B82" s="12">
        <f>ROUNDUP('Additional Calculations'!R99/2,0)*2</f>
        <v>36</v>
      </c>
      <c r="C82" s="7" t="s">
        <v>468</v>
      </c>
      <c r="D82" s="28"/>
      <c r="E82" s="7" t="s">
        <v>317</v>
      </c>
      <c r="F82" s="8">
        <v>2.5</v>
      </c>
      <c r="G82" s="32" t="s">
        <v>21</v>
      </c>
    </row>
    <row r="83" spans="1:7" x14ac:dyDescent="0.25">
      <c r="A83" s="31" t="s">
        <v>535</v>
      </c>
      <c r="B83" s="8">
        <v>36</v>
      </c>
      <c r="C83" s="7" t="s">
        <v>468</v>
      </c>
      <c r="D83" s="28"/>
      <c r="E83" s="7" t="s">
        <v>318</v>
      </c>
      <c r="F83" s="10">
        <v>1.2</v>
      </c>
      <c r="G83" s="32" t="s">
        <v>5</v>
      </c>
    </row>
    <row r="84" spans="1:7" x14ac:dyDescent="0.25">
      <c r="A84" s="31" t="s">
        <v>516</v>
      </c>
      <c r="B84" s="22">
        <f>PriWindFitAWG</f>
        <v>5</v>
      </c>
      <c r="C84" s="7" t="s">
        <v>195</v>
      </c>
      <c r="D84" s="28"/>
      <c r="E84" s="7" t="s">
        <v>568</v>
      </c>
      <c r="F84" s="10">
        <v>0.4</v>
      </c>
      <c r="G84" s="32" t="s">
        <v>5</v>
      </c>
    </row>
    <row r="85" spans="1:7" x14ac:dyDescent="0.25">
      <c r="A85" s="7" t="s">
        <v>536</v>
      </c>
      <c r="B85" s="8">
        <v>5</v>
      </c>
      <c r="C85" s="7" t="s">
        <v>195</v>
      </c>
      <c r="D85" s="28"/>
      <c r="E85" s="7" t="s">
        <v>569</v>
      </c>
      <c r="F85" s="10">
        <v>0.33</v>
      </c>
      <c r="G85" s="32" t="s">
        <v>5</v>
      </c>
    </row>
    <row r="86" spans="1:7" x14ac:dyDescent="0.25">
      <c r="A86" s="31" t="s">
        <v>466</v>
      </c>
      <c r="B86" s="8">
        <v>2</v>
      </c>
      <c r="C86" s="7" t="s">
        <v>467</v>
      </c>
      <c r="D86" s="28"/>
      <c r="E86" s="7" t="s">
        <v>534</v>
      </c>
      <c r="F86" s="72">
        <v>34</v>
      </c>
      <c r="G86" s="32" t="s">
        <v>468</v>
      </c>
    </row>
    <row r="87" spans="1:7" x14ac:dyDescent="0.25">
      <c r="A87" s="31" t="s">
        <v>509</v>
      </c>
      <c r="B87" s="72">
        <v>1</v>
      </c>
      <c r="C87" s="7" t="s">
        <v>467</v>
      </c>
      <c r="D87" s="28"/>
      <c r="E87" s="7" t="s">
        <v>517</v>
      </c>
      <c r="F87" s="70">
        <f>SecWindFitAWG</f>
        <v>15</v>
      </c>
      <c r="G87" s="32" t="s">
        <v>195</v>
      </c>
    </row>
    <row r="88" spans="1:7" x14ac:dyDescent="0.25">
      <c r="A88" s="31" t="s">
        <v>339</v>
      </c>
      <c r="B88" s="8">
        <v>2</v>
      </c>
      <c r="C88" s="7" t="s">
        <v>195</v>
      </c>
      <c r="D88" s="28"/>
      <c r="E88" s="7" t="s">
        <v>537</v>
      </c>
      <c r="F88" s="8">
        <v>15</v>
      </c>
      <c r="G88" s="32" t="s">
        <v>195</v>
      </c>
    </row>
    <row r="89" spans="1:7" x14ac:dyDescent="0.25">
      <c r="A89" s="31" t="s">
        <v>570</v>
      </c>
      <c r="B89" s="82">
        <v>0.05</v>
      </c>
      <c r="C89" s="7" t="s">
        <v>5</v>
      </c>
      <c r="D89" s="28"/>
      <c r="E89" s="7" t="s">
        <v>340</v>
      </c>
      <c r="F89" s="8">
        <v>2.2000000000000002</v>
      </c>
      <c r="G89" s="32" t="s">
        <v>342</v>
      </c>
    </row>
    <row r="90" spans="1:7" x14ac:dyDescent="0.25">
      <c r="A90" s="31" t="s">
        <v>525</v>
      </c>
      <c r="B90" s="82">
        <f>(Tape*0.0254*2*PSInt+Tape*0.0254*PPSSInt)*1.5*Bwindow/BobbinArea</f>
        <v>9.1108695652173916E-2</v>
      </c>
      <c r="C90" s="7" t="s">
        <v>5</v>
      </c>
      <c r="D90" s="28"/>
      <c r="E90" s="7" t="s">
        <v>341</v>
      </c>
      <c r="F90" s="8">
        <v>6</v>
      </c>
      <c r="G90" s="32" t="s">
        <v>195</v>
      </c>
    </row>
    <row r="91" spans="1:7" x14ac:dyDescent="0.25">
      <c r="A91" s="48" t="s">
        <v>528</v>
      </c>
      <c r="B91" s="83">
        <f>Rtot3</f>
        <v>0.50395619156780624</v>
      </c>
      <c r="C91" s="13" t="s">
        <v>74</v>
      </c>
      <c r="D91" s="28"/>
      <c r="E91" s="7" t="s">
        <v>527</v>
      </c>
      <c r="F91" s="84">
        <f>RtotS122</f>
        <v>1.9719987520885482E-2</v>
      </c>
      <c r="G91" s="32" t="s">
        <v>74</v>
      </c>
    </row>
    <row r="92" spans="1:7" ht="15.75" thickBot="1" x14ac:dyDescent="0.3">
      <c r="A92" s="34" t="s">
        <v>460</v>
      </c>
      <c r="B92" s="47">
        <f>PtransDCAC</f>
        <v>1.1801782804517063</v>
      </c>
      <c r="C92" s="35" t="s">
        <v>4</v>
      </c>
      <c r="D92" s="41"/>
      <c r="E92" s="68" t="s">
        <v>459</v>
      </c>
      <c r="F92" s="64">
        <f>PtransSec</f>
        <v>0.70498474056937599</v>
      </c>
      <c r="G92" s="63" t="s">
        <v>4</v>
      </c>
    </row>
    <row r="93" spans="1:7" ht="15.75" thickBot="1" x14ac:dyDescent="0.3">
      <c r="A93" s="2"/>
      <c r="B93" s="2"/>
      <c r="C93" s="2"/>
      <c r="D93" s="2"/>
      <c r="E93" s="2"/>
      <c r="F93" s="2"/>
      <c r="G93" s="2"/>
    </row>
    <row r="94" spans="1:7" x14ac:dyDescent="0.25">
      <c r="A94" s="113" t="s">
        <v>158</v>
      </c>
      <c r="B94" s="114"/>
      <c r="C94" s="115"/>
      <c r="D94" s="2"/>
      <c r="E94" s="113" t="s">
        <v>162</v>
      </c>
      <c r="F94" s="114"/>
      <c r="G94" s="115"/>
    </row>
    <row r="95" spans="1:7" x14ac:dyDescent="0.25">
      <c r="A95" s="31" t="s">
        <v>453</v>
      </c>
      <c r="B95" s="20">
        <f>Ifuse</f>
        <v>0.82369069493056601</v>
      </c>
      <c r="C95" s="32" t="s">
        <v>11</v>
      </c>
      <c r="D95" s="2"/>
      <c r="E95" s="31" t="s">
        <v>657</v>
      </c>
      <c r="F95" s="8">
        <v>35</v>
      </c>
      <c r="G95" s="32" t="s">
        <v>21</v>
      </c>
    </row>
    <row r="96" spans="1:7" x14ac:dyDescent="0.25">
      <c r="A96" s="31" t="s">
        <v>454</v>
      </c>
      <c r="B96" s="8">
        <v>5</v>
      </c>
      <c r="C96" s="32" t="s">
        <v>11</v>
      </c>
      <c r="D96" s="2"/>
      <c r="E96" s="31" t="s">
        <v>171</v>
      </c>
      <c r="F96" s="22">
        <f>VrateCbulk</f>
        <v>394.49115160933707</v>
      </c>
      <c r="G96" s="32" t="s">
        <v>21</v>
      </c>
    </row>
    <row r="97" spans="1:7" x14ac:dyDescent="0.25">
      <c r="A97" s="31" t="s">
        <v>161</v>
      </c>
      <c r="B97" s="8">
        <v>17</v>
      </c>
      <c r="C97" s="32" t="s">
        <v>389</v>
      </c>
      <c r="D97" s="2"/>
      <c r="E97" s="31" t="s">
        <v>457</v>
      </c>
      <c r="F97" s="66">
        <v>400</v>
      </c>
      <c r="G97" s="32" t="s">
        <v>21</v>
      </c>
    </row>
    <row r="98" spans="1:7" ht="15.75" thickBot="1" x14ac:dyDescent="0.3">
      <c r="A98" s="34" t="s">
        <v>508</v>
      </c>
      <c r="B98" s="47">
        <f>IinDCMax^2*Fuse_Resistance*10^-3</f>
        <v>5.1261902824703918E-3</v>
      </c>
      <c r="C98" s="38" t="s">
        <v>4</v>
      </c>
      <c r="D98" s="2"/>
      <c r="E98" s="31" t="s">
        <v>655</v>
      </c>
      <c r="F98" s="22">
        <f>CbulkRec</f>
        <v>114.92796280224078</v>
      </c>
      <c r="G98" s="32" t="s">
        <v>56</v>
      </c>
    </row>
    <row r="99" spans="1:7" ht="15.75" thickBot="1" x14ac:dyDescent="0.3">
      <c r="A99" s="2"/>
      <c r="B99" s="2"/>
      <c r="C99" s="2"/>
      <c r="D99" s="2"/>
      <c r="E99" s="31" t="s">
        <v>656</v>
      </c>
      <c r="F99" s="8">
        <v>112</v>
      </c>
      <c r="G99" s="32" t="s">
        <v>56</v>
      </c>
    </row>
    <row r="100" spans="1:7" x14ac:dyDescent="0.25">
      <c r="A100" s="113" t="s">
        <v>173</v>
      </c>
      <c r="B100" s="114"/>
      <c r="C100" s="115"/>
      <c r="D100" s="2"/>
      <c r="E100" s="31" t="s">
        <v>668</v>
      </c>
      <c r="F100" s="21">
        <f>CbulkCh*10^-6*((VinMin-VinRip)^2-(SQRT(2)*38)^2)/(2*Pout/EffFL)*10^3</f>
        <v>4.5088897435559705</v>
      </c>
      <c r="G100" s="32" t="s">
        <v>200</v>
      </c>
    </row>
    <row r="101" spans="1:7" x14ac:dyDescent="0.25">
      <c r="A101" s="31" t="s">
        <v>456</v>
      </c>
      <c r="B101" s="21">
        <f>IF(SwDerate*VratePri-(VinMax+Nch*VoutmaxTol+SpikePri)&lt;0,SQRT(Lleak*10^-6/(COSSLow*10^-12)),100)</f>
        <v>100</v>
      </c>
      <c r="C101" s="32" t="s">
        <v>387</v>
      </c>
      <c r="D101" s="2"/>
      <c r="E101" s="31" t="s">
        <v>163</v>
      </c>
      <c r="F101" s="8">
        <v>0.1</v>
      </c>
      <c r="G101" s="32"/>
    </row>
    <row r="102" spans="1:7" x14ac:dyDescent="0.25">
      <c r="A102" s="31" t="s">
        <v>455</v>
      </c>
      <c r="B102" s="8">
        <v>51.1</v>
      </c>
      <c r="C102" s="32" t="s">
        <v>387</v>
      </c>
      <c r="D102" s="2"/>
      <c r="E102" s="31" t="s">
        <v>164</v>
      </c>
      <c r="F102" s="21">
        <f>ESRBulkCalc</f>
        <v>1.4210262776062081</v>
      </c>
      <c r="G102" s="32" t="s">
        <v>389</v>
      </c>
    </row>
    <row r="103" spans="1:7" ht="15.75" thickBot="1" x14ac:dyDescent="0.3">
      <c r="A103" s="62" t="s">
        <v>408</v>
      </c>
      <c r="B103" s="64">
        <f>(Nch*VoutmaxTol)^2/(RclampPri*1000)</f>
        <v>0.28746457925636004</v>
      </c>
      <c r="C103" s="63" t="s">
        <v>4</v>
      </c>
      <c r="D103" s="2"/>
      <c r="E103" s="34" t="s">
        <v>165</v>
      </c>
      <c r="F103" s="37">
        <v>3</v>
      </c>
      <c r="G103" s="38" t="s">
        <v>389</v>
      </c>
    </row>
    <row r="104" spans="1:7" ht="15.75" thickBot="1" x14ac:dyDescent="0.3">
      <c r="B104" s="2"/>
      <c r="C104" s="2"/>
      <c r="D104" s="2"/>
    </row>
    <row r="105" spans="1:7" x14ac:dyDescent="0.25">
      <c r="A105" s="113" t="s">
        <v>633</v>
      </c>
      <c r="B105" s="114"/>
      <c r="C105" s="114"/>
      <c r="D105" s="114"/>
      <c r="E105" s="114"/>
      <c r="F105" s="114"/>
      <c r="G105" s="115"/>
    </row>
    <row r="106" spans="1:7" x14ac:dyDescent="0.25">
      <c r="A106" s="31" t="s">
        <v>662</v>
      </c>
      <c r="B106" s="87">
        <v>2</v>
      </c>
      <c r="C106" s="7" t="s">
        <v>195</v>
      </c>
      <c r="D106" s="28"/>
      <c r="E106" s="28"/>
      <c r="F106" s="28"/>
      <c r="G106" s="44"/>
    </row>
    <row r="107" spans="1:7" x14ac:dyDescent="0.25">
      <c r="A107" s="31" t="s">
        <v>634</v>
      </c>
      <c r="B107" s="8">
        <v>0.95</v>
      </c>
      <c r="C107" s="7" t="s">
        <v>391</v>
      </c>
      <c r="D107" s="28"/>
      <c r="E107" s="7" t="s">
        <v>637</v>
      </c>
      <c r="F107" s="22">
        <f>VinMax/Bridge_Derating</f>
        <v>749.5331880577404</v>
      </c>
      <c r="G107" s="32" t="s">
        <v>391</v>
      </c>
    </row>
    <row r="108" spans="1:7" x14ac:dyDescent="0.25">
      <c r="A108" s="31" t="s">
        <v>636</v>
      </c>
      <c r="B108" s="10">
        <v>0.5</v>
      </c>
      <c r="C108" s="7" t="s">
        <v>5</v>
      </c>
      <c r="D108" s="28"/>
      <c r="E108" s="7" t="s">
        <v>638</v>
      </c>
      <c r="F108" s="20">
        <f>IinAVGMax/Bridge_Derating/NBridge</f>
        <v>0.49438811474184929</v>
      </c>
      <c r="G108" s="32" t="s">
        <v>635</v>
      </c>
    </row>
    <row r="109" spans="1:7" x14ac:dyDescent="0.25">
      <c r="A109" s="31" t="s">
        <v>642</v>
      </c>
      <c r="B109" s="8">
        <v>60</v>
      </c>
      <c r="C109" s="7" t="s">
        <v>648</v>
      </c>
      <c r="D109" s="28"/>
      <c r="E109" s="7" t="s">
        <v>644</v>
      </c>
      <c r="F109" s="8">
        <v>800</v>
      </c>
      <c r="G109" s="32" t="s">
        <v>391</v>
      </c>
    </row>
    <row r="110" spans="1:7" x14ac:dyDescent="0.25">
      <c r="A110" s="31" t="s">
        <v>643</v>
      </c>
      <c r="B110" s="8">
        <v>125</v>
      </c>
      <c r="C110" s="7" t="s">
        <v>649</v>
      </c>
      <c r="D110" s="28"/>
      <c r="E110" s="7" t="s">
        <v>645</v>
      </c>
      <c r="F110" s="8">
        <v>2</v>
      </c>
      <c r="G110" s="32" t="s">
        <v>635</v>
      </c>
    </row>
    <row r="111" spans="1:7" ht="15.75" thickBot="1" x14ac:dyDescent="0.3">
      <c r="A111" s="34" t="s">
        <v>646</v>
      </c>
      <c r="B111" s="90">
        <f>Pbridge</f>
        <v>0.97835958747540586</v>
      </c>
      <c r="C111" s="35" t="s">
        <v>4</v>
      </c>
      <c r="D111" s="41"/>
      <c r="E111" s="35" t="s">
        <v>647</v>
      </c>
      <c r="F111" s="92">
        <f>Tbridge</f>
        <v>54.350787624262175</v>
      </c>
      <c r="G111" s="38" t="s">
        <v>649</v>
      </c>
    </row>
    <row r="112" spans="1:7" ht="15.75" thickBot="1" x14ac:dyDescent="0.3">
      <c r="A112" s="2"/>
      <c r="B112" s="2"/>
      <c r="C112" s="2"/>
      <c r="D112" s="2"/>
      <c r="E112" s="2"/>
      <c r="F112" s="2"/>
      <c r="G112" s="2"/>
    </row>
    <row r="113" spans="1:7" x14ac:dyDescent="0.25">
      <c r="A113" s="113" t="s">
        <v>175</v>
      </c>
      <c r="B113" s="114"/>
      <c r="C113" s="114"/>
      <c r="D113" s="114"/>
      <c r="E113" s="114"/>
      <c r="F113" s="114"/>
      <c r="G113" s="115"/>
    </row>
    <row r="114" spans="1:7" x14ac:dyDescent="0.25">
      <c r="A114" s="31" t="s">
        <v>176</v>
      </c>
      <c r="B114" s="21">
        <f>ESRRec</f>
        <v>12.075324130942834</v>
      </c>
      <c r="C114" s="7" t="s">
        <v>389</v>
      </c>
      <c r="D114" s="28"/>
      <c r="E114" s="7" t="s">
        <v>187</v>
      </c>
      <c r="F114" s="12">
        <f>CcoutRecE</f>
        <v>399.99999999999983</v>
      </c>
      <c r="G114" s="32" t="s">
        <v>56</v>
      </c>
    </row>
    <row r="115" spans="1:7" x14ac:dyDescent="0.25">
      <c r="A115" s="31" t="s">
        <v>548</v>
      </c>
      <c r="B115" s="8">
        <v>22</v>
      </c>
      <c r="C115" s="7" t="s">
        <v>389</v>
      </c>
      <c r="D115" s="28"/>
      <c r="E115" s="7" t="s">
        <v>188</v>
      </c>
      <c r="F115" s="22">
        <f>CcoutRecC</f>
        <v>131.80179791949698</v>
      </c>
      <c r="G115" s="32" t="s">
        <v>56</v>
      </c>
    </row>
    <row r="116" spans="1:7" x14ac:dyDescent="0.25">
      <c r="A116" s="31" t="s">
        <v>549</v>
      </c>
      <c r="B116" s="8">
        <v>10</v>
      </c>
      <c r="C116" s="7" t="s">
        <v>389</v>
      </c>
      <c r="D116" s="28"/>
      <c r="E116" s="7" t="s">
        <v>189</v>
      </c>
      <c r="F116" s="8">
        <v>470</v>
      </c>
      <c r="G116" s="32" t="s">
        <v>56</v>
      </c>
    </row>
    <row r="117" spans="1:7" x14ac:dyDescent="0.25">
      <c r="A117" s="39"/>
      <c r="B117" s="28"/>
      <c r="C117" s="28"/>
      <c r="D117" s="28"/>
      <c r="E117" s="7" t="s">
        <v>190</v>
      </c>
      <c r="F117" s="8">
        <v>2</v>
      </c>
      <c r="G117" s="32" t="s">
        <v>195</v>
      </c>
    </row>
    <row r="118" spans="1:7" x14ac:dyDescent="0.25">
      <c r="A118" s="31" t="s">
        <v>514</v>
      </c>
      <c r="B118" s="19">
        <f>IoutMax*DutyACFVinminVoutminIoutMax/((CoutCountC*CoutCValue*10^-6+CoutCountE*CoutEValue*10^-6)*FswVinminVoutminIoutMax*10^3)+ISECRMS*VoutMin/VoutMax*DutyACFVinminVoutminIoutMax/(1-DutyACFVinminVoutminIoutMax)*VinMin*(ESROutC1x/CoutCountC*10^-3+ESROutE1x/CoutCountE*10^-3)/VoutMin</f>
        <v>0.14968433464435774</v>
      </c>
      <c r="C118" s="7" t="s">
        <v>391</v>
      </c>
      <c r="D118" s="28"/>
      <c r="E118" s="7" t="s">
        <v>191</v>
      </c>
      <c r="F118" s="8">
        <v>22</v>
      </c>
      <c r="G118" s="32" t="s">
        <v>56</v>
      </c>
    </row>
    <row r="119" spans="1:7" ht="15.75" thickBot="1" x14ac:dyDescent="0.3">
      <c r="A119" s="34" t="s">
        <v>515</v>
      </c>
      <c r="B119" s="47">
        <f>IoutVoutMax*DutyACFVinminVoutmaxIoutVoutMax/((CoutCountC*CoutCValue*10^-6+CoutCountE*CoutEValue*10^-6)*FswVinminVoutmaxIoutMVout*10^3)+ISECRMS*DutyACFVinminVoutmaxIoutVoutMax/(1-DutyACFVinminVoutmaxIoutVoutMax)*VinMin*(ESROutC1x/CoutCountC*10^-3+ESROutE1x/CoutCountE*10^-3)/VoutMax</f>
        <v>0.59459317696993852</v>
      </c>
      <c r="C119" s="35" t="s">
        <v>391</v>
      </c>
      <c r="D119" s="41"/>
      <c r="E119" s="35" t="s">
        <v>192</v>
      </c>
      <c r="F119" s="37">
        <v>2</v>
      </c>
      <c r="G119" s="38" t="s">
        <v>195</v>
      </c>
    </row>
    <row r="120" spans="1:7" ht="15.75" thickBot="1" x14ac:dyDescent="0.3">
      <c r="A120" s="2"/>
      <c r="B120" s="2"/>
      <c r="C120" s="2"/>
      <c r="D120" s="2"/>
      <c r="E120" s="2"/>
      <c r="F120" s="2"/>
      <c r="G120" s="2"/>
    </row>
    <row r="121" spans="1:7" x14ac:dyDescent="0.25">
      <c r="A121" s="113" t="s">
        <v>198</v>
      </c>
      <c r="B121" s="114"/>
      <c r="C121" s="114"/>
      <c r="D121" s="114"/>
      <c r="E121" s="114"/>
      <c r="F121" s="114"/>
      <c r="G121" s="115"/>
    </row>
    <row r="122" spans="1:7" x14ac:dyDescent="0.25">
      <c r="A122" s="31" t="s">
        <v>544</v>
      </c>
      <c r="B122" s="8">
        <v>2</v>
      </c>
      <c r="C122" s="7" t="s">
        <v>545</v>
      </c>
      <c r="D122" s="28"/>
      <c r="E122" s="7" t="s">
        <v>546</v>
      </c>
      <c r="F122" s="86">
        <v>0</v>
      </c>
      <c r="G122" s="32" t="s">
        <v>545</v>
      </c>
    </row>
    <row r="123" spans="1:7" x14ac:dyDescent="0.25">
      <c r="A123" s="31" t="s">
        <v>199</v>
      </c>
      <c r="B123" s="12">
        <v>16</v>
      </c>
      <c r="C123" s="7" t="s">
        <v>200</v>
      </c>
      <c r="D123" s="28"/>
      <c r="E123" s="7" t="s">
        <v>214</v>
      </c>
      <c r="F123" s="10">
        <v>0.8</v>
      </c>
      <c r="G123" s="32" t="s">
        <v>5</v>
      </c>
    </row>
    <row r="124" spans="1:7" x14ac:dyDescent="0.25">
      <c r="A124" s="39"/>
      <c r="B124" s="28"/>
      <c r="C124" s="28"/>
      <c r="D124" s="28"/>
      <c r="E124" s="7" t="s">
        <v>215</v>
      </c>
      <c r="F124" s="10">
        <v>0.8</v>
      </c>
      <c r="G124" s="32" t="s">
        <v>5</v>
      </c>
    </row>
    <row r="125" spans="1:7" x14ac:dyDescent="0.25">
      <c r="A125" s="31" t="s">
        <v>204</v>
      </c>
      <c r="B125" s="8">
        <v>45</v>
      </c>
      <c r="C125" s="7" t="s">
        <v>206</v>
      </c>
      <c r="D125" s="28"/>
      <c r="E125" s="28"/>
      <c r="F125" s="28"/>
      <c r="G125" s="44"/>
    </row>
    <row r="126" spans="1:7" x14ac:dyDescent="0.25">
      <c r="A126" s="31" t="s">
        <v>205</v>
      </c>
      <c r="B126" s="8">
        <v>45</v>
      </c>
      <c r="C126" s="7" t="s">
        <v>206</v>
      </c>
      <c r="D126" s="28"/>
      <c r="E126" s="7" t="s">
        <v>216</v>
      </c>
      <c r="F126" s="22">
        <f>CVccCRec</f>
        <v>52.062008270011319</v>
      </c>
      <c r="G126" s="32" t="s">
        <v>56</v>
      </c>
    </row>
    <row r="127" spans="1:7" x14ac:dyDescent="0.25">
      <c r="A127" s="39"/>
      <c r="B127" s="28"/>
      <c r="C127" s="28"/>
      <c r="D127" s="28"/>
      <c r="E127" s="7" t="s">
        <v>217</v>
      </c>
      <c r="F127" s="22">
        <f>CvccERec</f>
        <v>37.689651268115945</v>
      </c>
      <c r="G127" s="32" t="s">
        <v>56</v>
      </c>
    </row>
    <row r="128" spans="1:7" x14ac:dyDescent="0.25">
      <c r="A128" s="31" t="s">
        <v>170</v>
      </c>
      <c r="B128" s="12">
        <v>35</v>
      </c>
      <c r="C128" s="7" t="s">
        <v>391</v>
      </c>
      <c r="D128" s="28"/>
      <c r="E128" s="28"/>
      <c r="F128" s="28"/>
      <c r="G128" s="44"/>
    </row>
    <row r="129" spans="1:7" x14ac:dyDescent="0.25">
      <c r="A129" s="31" t="s">
        <v>225</v>
      </c>
      <c r="B129" s="12">
        <v>15.9</v>
      </c>
      <c r="C129" s="7" t="s">
        <v>391</v>
      </c>
      <c r="D129" s="28"/>
      <c r="E129" s="7" t="s">
        <v>218</v>
      </c>
      <c r="F129" s="8">
        <v>39</v>
      </c>
      <c r="G129" s="32" t="s">
        <v>56</v>
      </c>
    </row>
    <row r="130" spans="1:7" ht="15.75" thickBot="1" x14ac:dyDescent="0.3">
      <c r="A130" s="40"/>
      <c r="B130" s="41"/>
      <c r="C130" s="41"/>
      <c r="D130" s="41"/>
      <c r="E130" s="35" t="s">
        <v>219</v>
      </c>
      <c r="F130" s="37">
        <v>0.1</v>
      </c>
      <c r="G130" s="38" t="s">
        <v>56</v>
      </c>
    </row>
    <row r="131" spans="1:7" ht="15.75" thickBot="1" x14ac:dyDescent="0.3">
      <c r="A131" s="2"/>
      <c r="B131" s="2"/>
      <c r="C131" s="2"/>
      <c r="D131" s="2"/>
      <c r="E131" s="2"/>
      <c r="F131" s="2"/>
      <c r="G131" s="2"/>
    </row>
    <row r="132" spans="1:7" x14ac:dyDescent="0.25">
      <c r="A132" s="113" t="s">
        <v>222</v>
      </c>
      <c r="B132" s="114"/>
      <c r="C132" s="114"/>
      <c r="D132" s="114"/>
      <c r="E132" s="114"/>
      <c r="F132" s="114"/>
      <c r="G132" s="115"/>
    </row>
    <row r="133" spans="1:7" x14ac:dyDescent="0.25">
      <c r="A133" s="31" t="s">
        <v>458</v>
      </c>
      <c r="B133" s="20">
        <v>1.5</v>
      </c>
      <c r="C133" s="7" t="s">
        <v>387</v>
      </c>
      <c r="D133" s="28"/>
      <c r="E133" s="7" t="s">
        <v>409</v>
      </c>
      <c r="F133" s="11">
        <v>1.5</v>
      </c>
      <c r="G133" s="32" t="s">
        <v>387</v>
      </c>
    </row>
    <row r="134" spans="1:7" x14ac:dyDescent="0.25">
      <c r="A134" s="48" t="s">
        <v>664</v>
      </c>
      <c r="B134" s="102">
        <v>1.5</v>
      </c>
      <c r="C134" s="7" t="s">
        <v>387</v>
      </c>
      <c r="D134" s="28"/>
      <c r="E134" s="7" t="s">
        <v>665</v>
      </c>
      <c r="F134" s="103">
        <v>1.5</v>
      </c>
      <c r="G134" s="32" t="s">
        <v>387</v>
      </c>
    </row>
    <row r="135" spans="1:7" ht="15.75" thickBot="1" x14ac:dyDescent="0.3">
      <c r="A135" s="34" t="s">
        <v>658</v>
      </c>
      <c r="B135" s="99">
        <v>0.8</v>
      </c>
      <c r="C135" s="35" t="s">
        <v>5</v>
      </c>
      <c r="D135" s="41"/>
      <c r="E135" s="35" t="s">
        <v>659</v>
      </c>
      <c r="F135" s="46">
        <f>VinMax/HV_Diode_Derate</f>
        <v>468.45824253608771</v>
      </c>
      <c r="G135" s="38" t="s">
        <v>391</v>
      </c>
    </row>
    <row r="136" spans="1:7" ht="15.75" thickBot="1" x14ac:dyDescent="0.3">
      <c r="A136" s="28"/>
      <c r="B136" s="53"/>
      <c r="C136" s="28"/>
      <c r="D136" s="28"/>
      <c r="E136" s="28"/>
      <c r="F136" s="28"/>
      <c r="G136" s="28"/>
    </row>
    <row r="137" spans="1:7" x14ac:dyDescent="0.25">
      <c r="A137" s="113" t="s">
        <v>223</v>
      </c>
      <c r="B137" s="114"/>
      <c r="C137" s="114"/>
      <c r="D137" s="114"/>
      <c r="E137" s="114"/>
      <c r="F137" s="114"/>
      <c r="G137" s="115"/>
    </row>
    <row r="138" spans="1:7" x14ac:dyDescent="0.25">
      <c r="A138" s="31" t="s">
        <v>561</v>
      </c>
      <c r="B138" s="87" t="s">
        <v>563</v>
      </c>
      <c r="C138" s="7" t="s">
        <v>403</v>
      </c>
      <c r="D138" s="28"/>
      <c r="E138" s="33"/>
      <c r="F138" s="33"/>
      <c r="G138" s="88"/>
    </row>
    <row r="139" spans="1:7" x14ac:dyDescent="0.25">
      <c r="A139" s="31" t="s">
        <v>224</v>
      </c>
      <c r="B139" s="8">
        <v>15</v>
      </c>
      <c r="C139" s="7" t="s">
        <v>21</v>
      </c>
      <c r="D139" s="28"/>
      <c r="E139" s="7" t="s">
        <v>231</v>
      </c>
      <c r="F139" s="8">
        <v>10</v>
      </c>
      <c r="G139" s="32" t="s">
        <v>21</v>
      </c>
    </row>
    <row r="140" spans="1:7" x14ac:dyDescent="0.25">
      <c r="A140" s="31" t="s">
        <v>226</v>
      </c>
      <c r="B140" s="12">
        <v>150</v>
      </c>
      <c r="C140" s="7" t="s">
        <v>87</v>
      </c>
      <c r="D140" s="28"/>
      <c r="E140" s="7" t="s">
        <v>232</v>
      </c>
      <c r="F140" s="8">
        <v>45</v>
      </c>
      <c r="G140" s="32" t="s">
        <v>206</v>
      </c>
    </row>
    <row r="141" spans="1:7" x14ac:dyDescent="0.25">
      <c r="A141" s="31" t="s">
        <v>227</v>
      </c>
      <c r="B141" s="12">
        <v>8</v>
      </c>
      <c r="C141" s="7" t="s">
        <v>21</v>
      </c>
      <c r="D141" s="28"/>
      <c r="E141" s="7" t="s">
        <v>547</v>
      </c>
      <c r="F141" s="8">
        <v>0.2</v>
      </c>
      <c r="G141" s="32" t="s">
        <v>21</v>
      </c>
    </row>
    <row r="142" spans="1:7" x14ac:dyDescent="0.25">
      <c r="A142" s="31" t="s">
        <v>228</v>
      </c>
      <c r="B142" s="8">
        <v>100</v>
      </c>
      <c r="C142" s="7" t="s">
        <v>87</v>
      </c>
      <c r="D142" s="28"/>
      <c r="E142" s="7" t="s">
        <v>418</v>
      </c>
      <c r="F142" s="22">
        <f>VCC/((-0.6702*VCC/(VCC/B145)+1.0284))</f>
        <v>30.47294002925403</v>
      </c>
      <c r="G142" s="32" t="s">
        <v>21</v>
      </c>
    </row>
    <row r="143" spans="1:7" x14ac:dyDescent="0.25">
      <c r="A143" s="31" t="s">
        <v>229</v>
      </c>
      <c r="B143" s="8">
        <v>10</v>
      </c>
      <c r="C143" s="7" t="s">
        <v>154</v>
      </c>
      <c r="D143" s="28"/>
      <c r="E143" s="7" t="s">
        <v>233</v>
      </c>
      <c r="F143" s="8">
        <v>50</v>
      </c>
      <c r="G143" s="32" t="s">
        <v>21</v>
      </c>
    </row>
    <row r="144" spans="1:7" x14ac:dyDescent="0.25">
      <c r="A144" s="31" t="s">
        <v>230</v>
      </c>
      <c r="B144" s="12">
        <v>0.5</v>
      </c>
      <c r="C144" s="7" t="s">
        <v>206</v>
      </c>
      <c r="D144" s="28"/>
      <c r="E144" s="7" t="s">
        <v>246</v>
      </c>
      <c r="F144" s="22">
        <f>IF(B138="Yes",CbootRec,CbootRipple)</f>
        <v>240.00050000000002</v>
      </c>
      <c r="G144" s="32" t="s">
        <v>236</v>
      </c>
    </row>
    <row r="145" spans="1:15" ht="15.75" thickBot="1" x14ac:dyDescent="0.3">
      <c r="A145" s="34" t="s">
        <v>417</v>
      </c>
      <c r="B145" s="65">
        <v>0.8</v>
      </c>
      <c r="C145" s="35" t="s">
        <v>5</v>
      </c>
      <c r="D145" s="41"/>
      <c r="E145" s="35" t="s">
        <v>247</v>
      </c>
      <c r="F145" s="37">
        <v>220</v>
      </c>
      <c r="G145" s="38" t="s">
        <v>236</v>
      </c>
    </row>
    <row r="146" spans="1:15" ht="15.75" thickBot="1" x14ac:dyDescent="0.3"/>
    <row r="147" spans="1:15" ht="15.75" thickBot="1" x14ac:dyDescent="0.3">
      <c r="A147" s="129" t="s">
        <v>666</v>
      </c>
      <c r="B147" s="130"/>
      <c r="C147" s="130"/>
      <c r="D147" s="130"/>
      <c r="E147" s="130"/>
      <c r="F147" s="130"/>
      <c r="G147" s="131"/>
    </row>
    <row r="148" spans="1:15" x14ac:dyDescent="0.25">
      <c r="A148" s="126" t="s">
        <v>551</v>
      </c>
      <c r="B148" s="127"/>
      <c r="C148" s="127"/>
      <c r="D148" s="127"/>
      <c r="E148" s="127"/>
      <c r="F148" s="127"/>
      <c r="G148" s="128"/>
    </row>
    <row r="149" spans="1:15" x14ac:dyDescent="0.25">
      <c r="A149" s="31" t="s">
        <v>552</v>
      </c>
      <c r="B149" s="22">
        <f>VoutMax/IoutVoutMax*(1-DutyACFVinminVoutmaxIoutVoutMax)^2/(2*PI()*DutyACFVinminVoutmaxIoutVoutMax*Lch*10^-6/(Nch^2))/10^3</f>
        <v>155.38459023780655</v>
      </c>
      <c r="C149" s="7" t="s">
        <v>6</v>
      </c>
      <c r="D149" s="28"/>
      <c r="E149" s="7" t="s">
        <v>577</v>
      </c>
      <c r="F149" s="22">
        <f>1/(2*PI()*(CoutCountC*CoutCValue+CoutCountE*CoutEValue)*10^-6*(ESROutC1x/CoutCountC*ESROutE1x/CoutCountE/(ESROutC1x/CoutCountC+ESROutE1x/CoutCountE))*10^-3)/10^3</f>
        <v>47.05245915503189</v>
      </c>
      <c r="G149" s="32" t="s">
        <v>6</v>
      </c>
    </row>
    <row r="150" spans="1:15" x14ac:dyDescent="0.25">
      <c r="A150" s="31" t="s">
        <v>555</v>
      </c>
      <c r="B150" s="12">
        <v>4</v>
      </c>
      <c r="C150" s="7" t="s">
        <v>554</v>
      </c>
      <c r="D150" s="28"/>
      <c r="E150" s="7" t="s">
        <v>553</v>
      </c>
      <c r="F150" s="8">
        <v>2</v>
      </c>
      <c r="G150" s="32" t="s">
        <v>554</v>
      </c>
    </row>
    <row r="151" spans="1:15" x14ac:dyDescent="0.25">
      <c r="A151" s="31" t="s">
        <v>615</v>
      </c>
      <c r="B151" s="12">
        <f>VoutMax</f>
        <v>20</v>
      </c>
      <c r="C151" s="7" t="s">
        <v>21</v>
      </c>
      <c r="D151" s="28"/>
      <c r="E151" s="7" t="s">
        <v>591</v>
      </c>
      <c r="F151" s="8">
        <v>4.5</v>
      </c>
      <c r="G151" s="32" t="s">
        <v>6</v>
      </c>
    </row>
    <row r="152" spans="1:15" x14ac:dyDescent="0.25">
      <c r="A152" s="31" t="s">
        <v>571</v>
      </c>
      <c r="B152" s="8">
        <v>2.5</v>
      </c>
      <c r="C152" s="7" t="s">
        <v>391</v>
      </c>
      <c r="D152" s="28"/>
      <c r="E152" s="7" t="s">
        <v>581</v>
      </c>
      <c r="F152" s="8">
        <v>100</v>
      </c>
      <c r="G152" s="32" t="s">
        <v>29</v>
      </c>
    </row>
    <row r="153" spans="1:15" x14ac:dyDescent="0.25">
      <c r="A153" s="31" t="s">
        <v>572</v>
      </c>
      <c r="B153" s="8">
        <v>40</v>
      </c>
      <c r="C153" s="7" t="s">
        <v>87</v>
      </c>
      <c r="D153" s="28"/>
      <c r="E153" s="7" t="s">
        <v>573</v>
      </c>
      <c r="F153" s="12">
        <f>(VoutMin-Vref431)/(10^-6*Ibias431)/10^3</f>
        <v>62.500000000000007</v>
      </c>
      <c r="G153" s="32" t="s">
        <v>387</v>
      </c>
      <c r="I153" s="1"/>
      <c r="J153" s="1"/>
      <c r="K153" s="1"/>
      <c r="L153" s="1"/>
      <c r="M153" s="1"/>
      <c r="N153" s="1"/>
      <c r="O153" s="1"/>
    </row>
    <row r="154" spans="1:15" x14ac:dyDescent="0.25">
      <c r="D154" s="28"/>
      <c r="E154" s="7" t="s">
        <v>605</v>
      </c>
      <c r="F154" s="8">
        <f>(VoutMin-Vref431)/(10^-6*Ibias431)/10^3</f>
        <v>62.500000000000007</v>
      </c>
      <c r="G154" s="32" t="s">
        <v>387</v>
      </c>
    </row>
    <row r="155" spans="1:15" x14ac:dyDescent="0.25">
      <c r="A155" s="31" t="s">
        <v>616</v>
      </c>
      <c r="B155" s="12">
        <f>IF((VoutMax-Vref431)/(Ibias431*1.5*10^-3)&gt;100,100-100*Vref431/VoutMax,(VoutMax-Vref431)/(Ibias431*1.5*10^-3))</f>
        <v>87.5</v>
      </c>
      <c r="C155" s="7" t="s">
        <v>387</v>
      </c>
      <c r="D155" s="28"/>
      <c r="E155" s="7" t="s">
        <v>618</v>
      </c>
      <c r="F155" s="20">
        <f>VdivHigh*Vref431/VoutMax/(1-Vref431/VoutMax)</f>
        <v>14.285714285714286</v>
      </c>
      <c r="G155" s="32" t="s">
        <v>387</v>
      </c>
    </row>
    <row r="156" spans="1:15" x14ac:dyDescent="0.25">
      <c r="A156" s="31" t="s">
        <v>617</v>
      </c>
      <c r="B156" s="8">
        <v>100</v>
      </c>
      <c r="C156" s="7" t="s">
        <v>387</v>
      </c>
      <c r="D156" s="26"/>
      <c r="E156" s="7" t="s">
        <v>619</v>
      </c>
      <c r="F156" s="8">
        <v>14.29</v>
      </c>
      <c r="G156" s="32" t="s">
        <v>387</v>
      </c>
    </row>
    <row r="157" spans="1:15" x14ac:dyDescent="0.25">
      <c r="A157" s="31" t="s">
        <v>579</v>
      </c>
      <c r="B157" s="91">
        <v>2.5</v>
      </c>
      <c r="C157" s="7" t="s">
        <v>6</v>
      </c>
      <c r="D157" s="28"/>
      <c r="E157" s="7" t="s">
        <v>574</v>
      </c>
      <c r="F157" s="12">
        <v>100</v>
      </c>
      <c r="G157" s="32" t="s">
        <v>387</v>
      </c>
    </row>
    <row r="158" spans="1:15" x14ac:dyDescent="0.25">
      <c r="A158" s="39"/>
      <c r="B158" s="28"/>
      <c r="C158" s="28"/>
      <c r="D158" s="28"/>
      <c r="E158" s="7" t="s">
        <v>575</v>
      </c>
      <c r="F158" s="12">
        <v>50</v>
      </c>
      <c r="G158" s="32" t="s">
        <v>387</v>
      </c>
    </row>
    <row r="159" spans="1:15" x14ac:dyDescent="0.25">
      <c r="A159" s="31" t="s">
        <v>613</v>
      </c>
      <c r="B159" s="20">
        <f>CZeroRecommend</f>
        <v>2.3279623319422651</v>
      </c>
      <c r="C159" s="7" t="s">
        <v>236</v>
      </c>
      <c r="D159" s="28"/>
      <c r="E159" s="7" t="s">
        <v>614</v>
      </c>
      <c r="F159" s="11">
        <v>2.33</v>
      </c>
      <c r="G159" s="32" t="s">
        <v>236</v>
      </c>
    </row>
    <row r="160" spans="1:15" x14ac:dyDescent="0.25">
      <c r="A160" s="31" t="s">
        <v>612</v>
      </c>
      <c r="B160" s="20">
        <f>Cap2RecFB</f>
        <v>0</v>
      </c>
      <c r="C160" s="7" t="s">
        <v>29</v>
      </c>
      <c r="D160" s="28"/>
      <c r="E160" s="7" t="s">
        <v>611</v>
      </c>
      <c r="F160" s="11">
        <f>B160</f>
        <v>0</v>
      </c>
      <c r="G160" s="32" t="s">
        <v>29</v>
      </c>
    </row>
    <row r="161" spans="1:7" x14ac:dyDescent="0.25">
      <c r="A161" s="31" t="s">
        <v>586</v>
      </c>
      <c r="B161" s="20">
        <f>RLEDRec</f>
        <v>2.2212005713321794</v>
      </c>
      <c r="C161" s="7" t="s">
        <v>387</v>
      </c>
      <c r="D161" s="28"/>
      <c r="E161" s="7" t="s">
        <v>585</v>
      </c>
      <c r="F161" s="11">
        <v>0.8</v>
      </c>
      <c r="G161" s="32" t="s">
        <v>387</v>
      </c>
    </row>
    <row r="162" spans="1:7" ht="15.75" thickBot="1" x14ac:dyDescent="0.3">
      <c r="A162" s="34" t="s">
        <v>604</v>
      </c>
      <c r="B162" s="92">
        <f>FinalPhase</f>
        <v>61.569002388050613</v>
      </c>
      <c r="C162" s="35" t="s">
        <v>602</v>
      </c>
      <c r="D162" s="41"/>
      <c r="E162" s="35" t="s">
        <v>580</v>
      </c>
      <c r="F162" s="90">
        <f>IF(CrossoverEstimate1&gt;0,CrossoverEstimate1,CrossoverEstimate2)</f>
        <v>2.2169838002223683</v>
      </c>
      <c r="G162" s="38" t="s">
        <v>6</v>
      </c>
    </row>
    <row r="163" spans="1:7" x14ac:dyDescent="0.25">
      <c r="A163" s="2"/>
      <c r="B163" s="2"/>
      <c r="C163" s="2"/>
      <c r="D163" s="2"/>
      <c r="E163" s="2"/>
      <c r="F163" s="2"/>
      <c r="G163" s="2"/>
    </row>
    <row r="182" spans="1:7" x14ac:dyDescent="0.25">
      <c r="A182" s="28"/>
      <c r="B182" s="28"/>
      <c r="C182" s="28"/>
      <c r="D182" s="28"/>
    </row>
    <row r="183" spans="1:7" x14ac:dyDescent="0.25">
      <c r="A183" s="28"/>
      <c r="B183" s="28"/>
      <c r="C183" s="28"/>
      <c r="D183" s="28"/>
      <c r="E183" s="2"/>
      <c r="F183" s="2"/>
      <c r="G183" s="2"/>
    </row>
    <row r="194" spans="1:7" x14ac:dyDescent="0.25">
      <c r="A194" s="2"/>
      <c r="B194" s="2"/>
      <c r="C194" s="2"/>
      <c r="D194" s="2"/>
      <c r="E194" s="2"/>
      <c r="F194" s="2"/>
      <c r="G194" s="2"/>
    </row>
    <row r="202" spans="1:7" x14ac:dyDescent="0.25">
      <c r="A202" s="2"/>
      <c r="B202" s="2"/>
      <c r="C202" s="2"/>
      <c r="D202" s="2"/>
      <c r="E202" s="2"/>
      <c r="F202" s="2"/>
      <c r="G202" s="2"/>
    </row>
    <row r="203" spans="1:7" x14ac:dyDescent="0.25">
      <c r="A203" s="2"/>
      <c r="B203" s="2"/>
      <c r="C203" s="2"/>
      <c r="D203" s="2"/>
      <c r="E203" s="2"/>
      <c r="F203" s="2"/>
      <c r="G203" s="2"/>
    </row>
  </sheetData>
  <mergeCells count="23">
    <mergeCell ref="A105:G105"/>
    <mergeCell ref="A148:G148"/>
    <mergeCell ref="A113:G113"/>
    <mergeCell ref="A121:G121"/>
    <mergeCell ref="A132:G132"/>
    <mergeCell ref="A137:G137"/>
    <mergeCell ref="A147:G147"/>
    <mergeCell ref="A94:C94"/>
    <mergeCell ref="E94:G94"/>
    <mergeCell ref="A100:C100"/>
    <mergeCell ref="A1:G1"/>
    <mergeCell ref="A5:G5"/>
    <mergeCell ref="A42:G42"/>
    <mergeCell ref="A47:G47"/>
    <mergeCell ref="A52:G52"/>
    <mergeCell ref="A80:G80"/>
    <mergeCell ref="A63:G63"/>
    <mergeCell ref="B2:G2"/>
    <mergeCell ref="B3:G3"/>
    <mergeCell ref="A24:G24"/>
    <mergeCell ref="A69:G69"/>
    <mergeCell ref="A17:G17"/>
    <mergeCell ref="A37:G37"/>
  </mergeCells>
  <conditionalFormatting sqref="B6">
    <cfRule type="cellIs" dxfId="55" priority="54" operator="lessThan">
      <formula>24</formula>
    </cfRule>
    <cfRule type="cellIs" dxfId="54" priority="55" operator="greaterThan">
      <formula>VinNom</formula>
    </cfRule>
    <cfRule type="cellIs" dxfId="53" priority="58" operator="lessThan">
      <formula>24</formula>
    </cfRule>
    <cfRule type="cellIs" dxfId="52" priority="60" operator="greaterThan">
      <formula>VinMax</formula>
    </cfRule>
  </conditionalFormatting>
  <conditionalFormatting sqref="B8">
    <cfRule type="cellIs" dxfId="51" priority="59" operator="lessThan">
      <formula>VinMin</formula>
    </cfRule>
  </conditionalFormatting>
  <conditionalFormatting sqref="F7">
    <cfRule type="cellIs" dxfId="50" priority="49" operator="lessThan">
      <formula>VoutMin</formula>
    </cfRule>
    <cfRule type="cellIs" dxfId="49" priority="57" operator="lessThan">
      <formula>VoutMin</formula>
    </cfRule>
  </conditionalFormatting>
  <conditionalFormatting sqref="F6">
    <cfRule type="cellIs" dxfId="48" priority="50" operator="greaterThan">
      <formula>VoutMax</formula>
    </cfRule>
    <cfRule type="cellIs" dxfId="47" priority="56" operator="greaterThan">
      <formula>VoutMax</formula>
    </cfRule>
  </conditionalFormatting>
  <conditionalFormatting sqref="B7">
    <cfRule type="cellIs" dxfId="46" priority="52" operator="greaterThan">
      <formula>VinMax</formula>
    </cfRule>
    <cfRule type="cellIs" dxfId="45" priority="53" operator="lessThan">
      <formula>VinMin</formula>
    </cfRule>
  </conditionalFormatting>
  <conditionalFormatting sqref="B29 B136">
    <cfRule type="cellIs" dxfId="44" priority="48" operator="greaterThan">
      <formula>1</formula>
    </cfRule>
  </conditionalFormatting>
  <conditionalFormatting sqref="F40">
    <cfRule type="cellIs" dxfId="43" priority="47" operator="greaterThan">
      <formula>1</formula>
    </cfRule>
  </conditionalFormatting>
  <conditionalFormatting sqref="F123">
    <cfRule type="cellIs" dxfId="42" priority="46" operator="greaterThan">
      <formula>1</formula>
    </cfRule>
  </conditionalFormatting>
  <conditionalFormatting sqref="F124">
    <cfRule type="cellIs" dxfId="41" priority="45" operator="greaterThan">
      <formula>1</formula>
    </cfRule>
  </conditionalFormatting>
  <conditionalFormatting sqref="F84">
    <cfRule type="cellIs" dxfId="40" priority="16" operator="greaterThan">
      <formula>TotAlocation</formula>
    </cfRule>
    <cfRule type="cellIs" dxfId="39" priority="23" operator="lessThan">
      <formula>0.05</formula>
    </cfRule>
    <cfRule type="cellIs" dxfId="38" priority="42" operator="lessThan">
      <formula>0.01</formula>
    </cfRule>
    <cfRule type="cellIs" dxfId="37" priority="43" operator="greaterThan">
      <formula>1</formula>
    </cfRule>
  </conditionalFormatting>
  <conditionalFormatting sqref="F39">
    <cfRule type="cellIs" dxfId="36" priority="34" operator="lessThan">
      <formula>$F$38</formula>
    </cfRule>
    <cfRule type="cellIs" dxfId="35" priority="41" operator="lessThan">
      <formula>$F$38</formula>
    </cfRule>
  </conditionalFormatting>
  <conditionalFormatting sqref="B64">
    <cfRule type="cellIs" dxfId="34" priority="61" operator="greaterThan">
      <formula>$B$53</formula>
    </cfRule>
  </conditionalFormatting>
  <conditionalFormatting sqref="B53">
    <cfRule type="cellIs" dxfId="33" priority="62" operator="lessThan">
      <formula>$B$64</formula>
    </cfRule>
  </conditionalFormatting>
  <conditionalFormatting sqref="F10">
    <cfRule type="cellIs" dxfId="32" priority="38" operator="greaterThan">
      <formula>1000</formula>
    </cfRule>
  </conditionalFormatting>
  <conditionalFormatting sqref="B26">
    <cfRule type="cellIs" dxfId="31" priority="37" operator="lessThan">
      <formula>$B$25</formula>
    </cfRule>
  </conditionalFormatting>
  <conditionalFormatting sqref="B28">
    <cfRule type="cellIs" dxfId="30" priority="36" operator="lessThan">
      <formula>$B$27</formula>
    </cfRule>
  </conditionalFormatting>
  <conditionalFormatting sqref="B39">
    <cfRule type="cellIs" dxfId="29" priority="35" operator="lessThan">
      <formula>$B$38</formula>
    </cfRule>
  </conditionalFormatting>
  <conditionalFormatting sqref="B96">
    <cfRule type="cellIs" dxfId="28" priority="33" operator="lessThan">
      <formula>$B$95</formula>
    </cfRule>
  </conditionalFormatting>
  <conditionalFormatting sqref="F97">
    <cfRule type="cellIs" dxfId="27" priority="32" operator="lessThan">
      <formula>$F$96</formula>
    </cfRule>
  </conditionalFormatting>
  <conditionalFormatting sqref="B139">
    <cfRule type="cellIs" dxfId="26" priority="29" operator="greaterThan">
      <formula>18</formula>
    </cfRule>
    <cfRule type="cellIs" dxfId="25" priority="30" operator="greaterThan">
      <formula>25</formula>
    </cfRule>
    <cfRule type="cellIs" dxfId="24" priority="31" operator="lessThan">
      <formula>10</formula>
    </cfRule>
  </conditionalFormatting>
  <conditionalFormatting sqref="F143">
    <cfRule type="cellIs" dxfId="23" priority="28" operator="lessThan">
      <formula>$F$142</formula>
    </cfRule>
  </conditionalFormatting>
  <conditionalFormatting sqref="F50">
    <cfRule type="cellIs" dxfId="22" priority="26" operator="lessThan">
      <formula>0.8*$B$50</formula>
    </cfRule>
    <cfRule type="cellIs" dxfId="21" priority="27" operator="greaterThan">
      <formula>1.5*$B$50</formula>
    </cfRule>
  </conditionalFormatting>
  <conditionalFormatting sqref="B83">
    <cfRule type="cellIs" dxfId="20" priority="24" operator="lessThan">
      <formula>20</formula>
    </cfRule>
    <cfRule type="cellIs" dxfId="19" priority="25" operator="greaterThan">
      <formula>46</formula>
    </cfRule>
  </conditionalFormatting>
  <conditionalFormatting sqref="F85">
    <cfRule type="cellIs" dxfId="18" priority="15" operator="greaterThan">
      <formula>TotAlocation</formula>
    </cfRule>
    <cfRule type="cellIs" dxfId="17" priority="21" operator="lessThan">
      <formula>0.05</formula>
    </cfRule>
    <cfRule type="cellIs" dxfId="16" priority="22" operator="greaterThan">
      <formula>1</formula>
    </cfRule>
  </conditionalFormatting>
  <conditionalFormatting sqref="F19">
    <cfRule type="cellIs" dxfId="15" priority="20" operator="greaterThan">
      <formula>$B$19</formula>
    </cfRule>
  </conditionalFormatting>
  <conditionalFormatting sqref="B85">
    <cfRule type="cellIs" dxfId="14" priority="19" operator="greaterThan">
      <formula>$B$84</formula>
    </cfRule>
  </conditionalFormatting>
  <conditionalFormatting sqref="F88">
    <cfRule type="cellIs" dxfId="13" priority="18" operator="greaterThan">
      <formula>$F$87</formula>
    </cfRule>
  </conditionalFormatting>
  <conditionalFormatting sqref="F135">
    <cfRule type="cellIs" dxfId="12" priority="17" operator="greaterThan">
      <formula>3000</formula>
    </cfRule>
  </conditionalFormatting>
  <conditionalFormatting sqref="B89:B90">
    <cfRule type="cellIs" dxfId="11" priority="14" operator="greaterThan">
      <formula>TotAlocation</formula>
    </cfRule>
  </conditionalFormatting>
  <conditionalFormatting sqref="B90">
    <cfRule type="cellIs" dxfId="10" priority="13" operator="greaterThan">
      <formula>TotAlocation</formula>
    </cfRule>
  </conditionalFormatting>
  <conditionalFormatting sqref="F86">
    <cfRule type="cellIs" dxfId="9" priority="11" operator="lessThan">
      <formula>20</formula>
    </cfRule>
    <cfRule type="cellIs" dxfId="8" priority="12" operator="greaterThan">
      <formula>46</formula>
    </cfRule>
  </conditionalFormatting>
  <conditionalFormatting sqref="F77">
    <cfRule type="cellIs" dxfId="7" priority="10" operator="greaterThan">
      <formula>0.2</formula>
    </cfRule>
  </conditionalFormatting>
  <conditionalFormatting sqref="F145">
    <cfRule type="cellIs" dxfId="6" priority="9" operator="lessThan">
      <formula>$F$144</formula>
    </cfRule>
  </conditionalFormatting>
  <conditionalFormatting sqref="B151">
    <cfRule type="cellIs" dxfId="5" priority="8" operator="greaterThan">
      <formula>36</formula>
    </cfRule>
  </conditionalFormatting>
  <conditionalFormatting sqref="F133">
    <cfRule type="cellIs" dxfId="4" priority="5" operator="greaterThan">
      <formula>HVResSum</formula>
    </cfRule>
  </conditionalFormatting>
  <conditionalFormatting sqref="F134">
    <cfRule type="cellIs" dxfId="3" priority="4" operator="greaterThan">
      <formula>HVResSum</formula>
    </cfRule>
  </conditionalFormatting>
  <conditionalFormatting sqref="F111">
    <cfRule type="cellIs" dxfId="2" priority="3" operator="greaterThan">
      <formula>$B$110</formula>
    </cfRule>
  </conditionalFormatting>
  <conditionalFormatting sqref="F109">
    <cfRule type="cellIs" dxfId="1" priority="2" operator="lessThan">
      <formula>$F$107</formula>
    </cfRule>
  </conditionalFormatting>
  <conditionalFormatting sqref="F110">
    <cfRule type="cellIs" dxfId="0" priority="1" operator="lessThan">
      <formula>$F$108</formula>
    </cfRule>
  </conditionalFormatting>
  <dataValidations count="1">
    <dataValidation type="list" allowBlank="1" showInputMessage="1" showErrorMessage="1" sqref="B138">
      <formula1>"Yes,No"</formula1>
    </dataValidation>
  </dataValidations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5" shapeId="1099" r:id="rId4">
          <objectPr defaultSize="0" r:id="rId5">
            <anchor moveWithCells="1">
              <from>
                <xdr:col>14</xdr:col>
                <xdr:colOff>352425</xdr:colOff>
                <xdr:row>51</xdr:row>
                <xdr:rowOff>57150</xdr:rowOff>
              </from>
              <to>
                <xdr:col>19</xdr:col>
                <xdr:colOff>323850</xdr:colOff>
                <xdr:row>63</xdr:row>
                <xdr:rowOff>95250</xdr:rowOff>
              </to>
            </anchor>
          </objectPr>
        </oleObject>
      </mc:Choice>
      <mc:Fallback>
        <oleObject progId="Visio.Drawing.15" shapeId="1099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'Additional Calculations'!$H$11:$H$12</xm:f>
          </x14:formula1>
          <xm:sqref>B43</xm:sqref>
        </x14:dataValidation>
        <x14:dataValidation type="list" allowBlank="1" showInputMessage="1" showErrorMessage="1">
          <x14:formula1>
            <xm:f>'Additional Calculations'!$E$11:$E$12</xm:f>
          </x14:formula1>
          <xm:sqref>B106</xm:sqref>
        </x14:dataValidation>
        <x14:dataValidation type="list" allowBlank="1" showInputMessage="1" showErrorMessage="1">
          <x14:formula1>
            <xm:f>'Additional Calculations'!F11:F13</xm:f>
          </x14:formula1>
          <xm:sqref>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85" zoomScaleNormal="85" workbookViewId="0">
      <selection activeCell="B41" sqref="B41"/>
    </sheetView>
  </sheetViews>
  <sheetFormatPr defaultRowHeight="15" x14ac:dyDescent="0.25"/>
  <cols>
    <col min="1" max="1" width="29.42578125" bestFit="1" customWidth="1"/>
    <col min="2" max="2" width="12" bestFit="1" customWidth="1"/>
    <col min="3" max="3" width="6.140625" bestFit="1" customWidth="1"/>
    <col min="5" max="5" width="29.42578125" bestFit="1" customWidth="1"/>
    <col min="6" max="6" width="8.140625" bestFit="1" customWidth="1"/>
    <col min="7" max="7" width="7.140625" bestFit="1" customWidth="1"/>
  </cols>
  <sheetData>
    <row r="1" spans="1:7" x14ac:dyDescent="0.25">
      <c r="A1" s="132" t="s">
        <v>661</v>
      </c>
      <c r="B1" s="133"/>
      <c r="C1" s="133"/>
      <c r="D1" s="133"/>
      <c r="E1" s="133"/>
      <c r="F1" s="133"/>
      <c r="G1" s="134"/>
    </row>
    <row r="2" spans="1:7" x14ac:dyDescent="0.25">
      <c r="A2" s="31" t="s">
        <v>257</v>
      </c>
      <c r="B2" s="19">
        <f>Pout/EffFL-Pout</f>
        <v>4.8924731182795682</v>
      </c>
      <c r="C2" s="7" t="s">
        <v>4</v>
      </c>
      <c r="D2" s="28"/>
      <c r="E2" s="28"/>
      <c r="F2" s="28"/>
      <c r="G2" s="44"/>
    </row>
    <row r="3" spans="1:7" x14ac:dyDescent="0.25">
      <c r="A3" s="31" t="s">
        <v>248</v>
      </c>
      <c r="B3" s="19">
        <f>PLSConduction</f>
        <v>0.2969215838710102</v>
      </c>
      <c r="C3" s="7" t="s">
        <v>4</v>
      </c>
      <c r="D3" s="28"/>
      <c r="E3" s="7" t="s">
        <v>248</v>
      </c>
      <c r="F3" s="15">
        <f>PLSConduction/Permitted_Total_Loss</f>
        <v>6.0689466593415294E-2</v>
      </c>
      <c r="G3" s="32" t="s">
        <v>258</v>
      </c>
    </row>
    <row r="4" spans="1:7" x14ac:dyDescent="0.25">
      <c r="A4" s="31" t="s">
        <v>249</v>
      </c>
      <c r="B4" s="19">
        <f>PHSConduction</f>
        <v>0.4923040984600921</v>
      </c>
      <c r="C4" s="7" t="s">
        <v>4</v>
      </c>
      <c r="D4" s="28"/>
      <c r="E4" s="7" t="s">
        <v>249</v>
      </c>
      <c r="F4" s="15">
        <f>PHSConduction/Permitted_Total_Loss</f>
        <v>0.10062479375118369</v>
      </c>
      <c r="G4" s="32" t="s">
        <v>258</v>
      </c>
    </row>
    <row r="5" spans="1:7" x14ac:dyDescent="0.25">
      <c r="A5" s="31" t="s">
        <v>250</v>
      </c>
      <c r="B5" s="19">
        <f>PSecCond</f>
        <v>0.39324731509337801</v>
      </c>
      <c r="C5" s="7" t="s">
        <v>4</v>
      </c>
      <c r="D5" s="28"/>
      <c r="E5" s="7" t="s">
        <v>250</v>
      </c>
      <c r="F5" s="15">
        <f>PSecCond/Permitted_Total_Loss</f>
        <v>8.0378022645459707E-2</v>
      </c>
      <c r="G5" s="32" t="s">
        <v>258</v>
      </c>
    </row>
    <row r="6" spans="1:7" x14ac:dyDescent="0.25">
      <c r="A6" s="31" t="s">
        <v>251</v>
      </c>
      <c r="B6" s="19">
        <f>IF(CSOption="RS",PRSACF,0)</f>
        <v>0.24826219387208207</v>
      </c>
      <c r="C6" s="7" t="s">
        <v>4</v>
      </c>
      <c r="D6" s="28"/>
      <c r="E6" s="7" t="s">
        <v>251</v>
      </c>
      <c r="F6" s="15">
        <f>B6/Permitted_Total_Loss</f>
        <v>5.0743701165062945E-2</v>
      </c>
      <c r="G6" s="32" t="s">
        <v>258</v>
      </c>
    </row>
    <row r="7" spans="1:7" x14ac:dyDescent="0.25">
      <c r="A7" s="31" t="s">
        <v>252</v>
      </c>
      <c r="B7" s="19">
        <f>IF(CSOption="CT",PCST,0)</f>
        <v>0</v>
      </c>
      <c r="C7" s="7" t="s">
        <v>4</v>
      </c>
      <c r="D7" s="28"/>
      <c r="E7" s="7" t="s">
        <v>252</v>
      </c>
      <c r="F7" s="15">
        <f>B7/Permitted_Total_Loss</f>
        <v>0</v>
      </c>
      <c r="G7" s="32" t="s">
        <v>258</v>
      </c>
    </row>
    <row r="8" spans="1:7" x14ac:dyDescent="0.25">
      <c r="A8" s="31" t="s">
        <v>422</v>
      </c>
      <c r="B8" s="19">
        <f>PcoreSQ22</f>
        <v>1.6253820039630196</v>
      </c>
      <c r="C8" s="7" t="s">
        <v>4</v>
      </c>
      <c r="D8" s="28"/>
      <c r="E8" s="7" t="s">
        <v>422</v>
      </c>
      <c r="F8" s="15">
        <f>B8/Permitted_Total_Loss</f>
        <v>0.33222093707376016</v>
      </c>
      <c r="G8" s="32" t="s">
        <v>258</v>
      </c>
    </row>
    <row r="9" spans="1:7" x14ac:dyDescent="0.25">
      <c r="A9" s="31" t="s">
        <v>423</v>
      </c>
      <c r="B9" s="19">
        <f>PXFMRCond</f>
        <v>1.8851840781901024</v>
      </c>
      <c r="C9" s="7" t="s">
        <v>4</v>
      </c>
      <c r="D9" s="28"/>
      <c r="E9" s="7" t="s">
        <v>423</v>
      </c>
      <c r="F9" s="15">
        <f>B9/Permitted_Total_Loss</f>
        <v>0.38532333905863642</v>
      </c>
      <c r="G9" s="32" t="s">
        <v>258</v>
      </c>
    </row>
    <row r="10" spans="1:7" x14ac:dyDescent="0.25">
      <c r="A10" s="31" t="s">
        <v>253</v>
      </c>
      <c r="B10" s="19">
        <f>PCapsOut</f>
        <v>0.12288978596668061</v>
      </c>
      <c r="C10" s="7" t="s">
        <v>4</v>
      </c>
      <c r="D10" s="28"/>
      <c r="E10" s="7" t="s">
        <v>253</v>
      </c>
      <c r="F10" s="15">
        <f>PCapsOut/Permitted_Total_Loss</f>
        <v>2.5118132076706157E-2</v>
      </c>
      <c r="G10" s="32" t="s">
        <v>258</v>
      </c>
    </row>
    <row r="11" spans="1:7" x14ac:dyDescent="0.25">
      <c r="A11" s="31" t="s">
        <v>416</v>
      </c>
      <c r="B11" s="19">
        <f>PClampCap+Pclamp</f>
        <v>0.29555724936803279</v>
      </c>
      <c r="C11" s="7" t="s">
        <v>4</v>
      </c>
      <c r="D11" s="28"/>
      <c r="E11" s="7" t="s">
        <v>254</v>
      </c>
      <c r="F11" s="15">
        <f>PClampCap/Permitted_Total_Loss</f>
        <v>1.6541061986495946E-3</v>
      </c>
      <c r="G11" s="32" t="s">
        <v>258</v>
      </c>
    </row>
    <row r="12" spans="1:7" x14ac:dyDescent="0.25">
      <c r="A12" s="31" t="s">
        <v>396</v>
      </c>
      <c r="B12" s="19">
        <f>Pfuse</f>
        <v>5.1261902824703918E-3</v>
      </c>
      <c r="C12" s="7" t="s">
        <v>4</v>
      </c>
      <c r="D12" s="28"/>
      <c r="E12" s="7" t="s">
        <v>396</v>
      </c>
      <c r="F12" s="15">
        <f>B12/Permitted_Total_Loss</f>
        <v>1.04777076103241E-3</v>
      </c>
      <c r="G12" s="32" t="s">
        <v>258</v>
      </c>
    </row>
    <row r="13" spans="1:7" x14ac:dyDescent="0.25">
      <c r="A13" s="31" t="s">
        <v>399</v>
      </c>
      <c r="B13" s="19">
        <f>Pbulk</f>
        <v>2.979146326464985E-3</v>
      </c>
      <c r="C13" s="7" t="s">
        <v>4</v>
      </c>
      <c r="D13" s="28"/>
      <c r="E13" s="7" t="s">
        <v>399</v>
      </c>
      <c r="F13" s="15">
        <f>B13/Permitted_Total_Loss</f>
        <v>6.0892441398075544E-4</v>
      </c>
      <c r="G13" s="32" t="s">
        <v>258</v>
      </c>
    </row>
    <row r="14" spans="1:7" x14ac:dyDescent="0.25">
      <c r="A14" s="31" t="s">
        <v>660</v>
      </c>
      <c r="B14" s="19">
        <f>Pbridge</f>
        <v>0.97835958747540586</v>
      </c>
      <c r="C14" s="7" t="s">
        <v>4</v>
      </c>
      <c r="D14" s="28"/>
      <c r="E14" s="7" t="s">
        <v>660</v>
      </c>
      <c r="F14" s="15">
        <f>B14/Permitted_Total_Loss</f>
        <v>0.19997239919826984</v>
      </c>
      <c r="G14" s="32" t="s">
        <v>258</v>
      </c>
    </row>
    <row r="15" spans="1:7" x14ac:dyDescent="0.25">
      <c r="A15" s="31" t="s">
        <v>255</v>
      </c>
      <c r="B15" s="19">
        <f>SUM(B3:B14)</f>
        <v>6.3462132328687382</v>
      </c>
      <c r="C15" s="7" t="s">
        <v>4</v>
      </c>
      <c r="D15" s="28"/>
      <c r="E15" s="7" t="s">
        <v>255</v>
      </c>
      <c r="F15" s="15">
        <f>SUM(F3:F14)</f>
        <v>1.238381592936157</v>
      </c>
      <c r="G15" s="32" t="s">
        <v>258</v>
      </c>
    </row>
    <row r="16" spans="1:7" ht="15.75" thickBot="1" x14ac:dyDescent="0.3">
      <c r="A16" s="34" t="s">
        <v>256</v>
      </c>
      <c r="B16" s="50">
        <f>Pout/(Pout+B15)</f>
        <v>0.91105045460289302</v>
      </c>
      <c r="C16" s="35" t="s">
        <v>5</v>
      </c>
      <c r="D16" s="41"/>
      <c r="E16" s="41"/>
      <c r="F16" s="41"/>
      <c r="G16" s="45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2"/>
  <sheetViews>
    <sheetView zoomScale="85" zoomScaleNormal="85" workbookViewId="0">
      <selection activeCell="H39" sqref="H39"/>
    </sheetView>
  </sheetViews>
  <sheetFormatPr defaultRowHeight="15" x14ac:dyDescent="0.25"/>
  <cols>
    <col min="6" max="6" width="16" bestFit="1" customWidth="1"/>
    <col min="17" max="17" width="16" bestFit="1" customWidth="1"/>
    <col min="18" max="18" width="8.7109375" customWidth="1"/>
  </cols>
  <sheetData>
    <row r="1" spans="1:12" ht="15.75" thickBot="1" x14ac:dyDescent="0.3">
      <c r="A1" s="77" t="s">
        <v>359</v>
      </c>
      <c r="B1" s="78" t="s">
        <v>360</v>
      </c>
      <c r="C1" s="78" t="s">
        <v>361</v>
      </c>
      <c r="D1" s="79" t="s">
        <v>394</v>
      </c>
      <c r="E1" s="77" t="s">
        <v>359</v>
      </c>
      <c r="F1" s="78" t="s">
        <v>360</v>
      </c>
      <c r="G1" s="78" t="s">
        <v>361</v>
      </c>
      <c r="H1" s="79" t="s">
        <v>394</v>
      </c>
      <c r="I1" s="107" t="s">
        <v>359</v>
      </c>
      <c r="J1" s="78" t="s">
        <v>360</v>
      </c>
      <c r="K1" s="78" t="s">
        <v>361</v>
      </c>
      <c r="L1" s="79" t="s">
        <v>384</v>
      </c>
    </row>
    <row r="2" spans="1:12" x14ac:dyDescent="0.25">
      <c r="A2" s="74" t="s">
        <v>370</v>
      </c>
      <c r="B2" s="76">
        <f>CbulkCh</f>
        <v>112</v>
      </c>
      <c r="C2" s="76" t="s">
        <v>56</v>
      </c>
      <c r="D2" s="75" t="s">
        <v>425</v>
      </c>
      <c r="E2" s="74" t="s">
        <v>390</v>
      </c>
      <c r="F2" s="76">
        <f>100</f>
        <v>100</v>
      </c>
      <c r="G2" s="76" t="s">
        <v>236</v>
      </c>
      <c r="H2" s="75">
        <v>402</v>
      </c>
      <c r="I2" s="108" t="s">
        <v>382</v>
      </c>
      <c r="J2" s="76">
        <f>CoutCValue</f>
        <v>22</v>
      </c>
      <c r="K2" s="76" t="s">
        <v>56</v>
      </c>
      <c r="L2" s="75">
        <f>CoutCountC</f>
        <v>2</v>
      </c>
    </row>
    <row r="3" spans="1:12" ht="15.75" thickBot="1" x14ac:dyDescent="0.3">
      <c r="A3" s="54" t="s">
        <v>371</v>
      </c>
      <c r="B3" s="52">
        <f>Lch</f>
        <v>120</v>
      </c>
      <c r="C3" s="52" t="s">
        <v>34</v>
      </c>
      <c r="D3" s="55" t="s">
        <v>425</v>
      </c>
      <c r="E3" s="54" t="s">
        <v>475</v>
      </c>
      <c r="F3" s="52">
        <f>RDTH2Ch</f>
        <v>20</v>
      </c>
      <c r="G3" s="52" t="s">
        <v>387</v>
      </c>
      <c r="H3" s="55">
        <v>402</v>
      </c>
      <c r="I3" s="104" t="s">
        <v>383</v>
      </c>
      <c r="J3" s="57">
        <f>CoutEValue</f>
        <v>470</v>
      </c>
      <c r="K3" s="57" t="s">
        <v>56</v>
      </c>
      <c r="L3" s="58">
        <f>CoutCountE</f>
        <v>2</v>
      </c>
    </row>
    <row r="4" spans="1:12" ht="15.75" thickBot="1" x14ac:dyDescent="0.3">
      <c r="A4" s="54" t="s">
        <v>372</v>
      </c>
      <c r="B4" s="52">
        <f>RtCh</f>
        <v>100</v>
      </c>
      <c r="C4" s="52" t="s">
        <v>387</v>
      </c>
      <c r="D4" s="55">
        <v>402</v>
      </c>
      <c r="E4" s="54" t="s">
        <v>373</v>
      </c>
      <c r="F4" s="52">
        <f>RDTH1Ch</f>
        <v>600</v>
      </c>
      <c r="G4" s="52" t="s">
        <v>387</v>
      </c>
      <c r="H4" s="55">
        <v>402</v>
      </c>
      <c r="I4" s="107" t="s">
        <v>359</v>
      </c>
      <c r="J4" s="78" t="s">
        <v>360</v>
      </c>
      <c r="K4" s="78" t="s">
        <v>361</v>
      </c>
      <c r="L4" s="79" t="s">
        <v>394</v>
      </c>
    </row>
    <row r="5" spans="1:12" x14ac:dyDescent="0.25">
      <c r="A5" s="54" t="s">
        <v>376</v>
      </c>
      <c r="B5" s="52">
        <f>49.9</f>
        <v>49.9</v>
      </c>
      <c r="C5" s="52" t="s">
        <v>387</v>
      </c>
      <c r="D5" s="55">
        <v>402</v>
      </c>
      <c r="E5" s="54" t="s">
        <v>374</v>
      </c>
      <c r="F5" s="52">
        <f>100</f>
        <v>100</v>
      </c>
      <c r="G5" s="52" t="s">
        <v>236</v>
      </c>
      <c r="H5" s="55">
        <v>402</v>
      </c>
      <c r="I5" s="108" t="s">
        <v>606</v>
      </c>
      <c r="J5" s="76">
        <f>VdivHigh</f>
        <v>100</v>
      </c>
      <c r="K5" s="76" t="s">
        <v>387</v>
      </c>
      <c r="L5" s="75">
        <v>402</v>
      </c>
    </row>
    <row r="6" spans="1:12" x14ac:dyDescent="0.25">
      <c r="A6" s="54" t="s">
        <v>377</v>
      </c>
      <c r="B6" s="52">
        <f>RoppCh</f>
        <v>412</v>
      </c>
      <c r="C6" s="52" t="s">
        <v>388</v>
      </c>
      <c r="D6" s="55">
        <v>402</v>
      </c>
      <c r="E6" s="54" t="s">
        <v>474</v>
      </c>
      <c r="F6" s="52">
        <f>RZ1Ch</f>
        <v>8</v>
      </c>
      <c r="G6" s="52" t="s">
        <v>387</v>
      </c>
      <c r="H6" s="55">
        <v>402</v>
      </c>
      <c r="I6" s="109" t="s">
        <v>608</v>
      </c>
      <c r="J6" s="52">
        <f>VdivLow</f>
        <v>14.29</v>
      </c>
      <c r="K6" s="52" t="s">
        <v>387</v>
      </c>
      <c r="L6" s="55">
        <v>402</v>
      </c>
    </row>
    <row r="7" spans="1:12" x14ac:dyDescent="0.25">
      <c r="A7" s="54" t="str">
        <f>CSOption</f>
        <v>RS</v>
      </c>
      <c r="B7" s="52">
        <f>IF(CSOption="RS",RSCh,NCT)</f>
        <v>250</v>
      </c>
      <c r="C7" s="52" t="str">
        <f>IF(CSOption="RS","mΩ","Turns")</f>
        <v>mΩ</v>
      </c>
      <c r="D7" s="55" t="s">
        <v>425</v>
      </c>
      <c r="E7" s="54" t="s">
        <v>375</v>
      </c>
      <c r="F7" s="52">
        <f>RZ2Ch</f>
        <v>154</v>
      </c>
      <c r="G7" s="52" t="s">
        <v>387</v>
      </c>
      <c r="H7" s="55">
        <v>402</v>
      </c>
      <c r="I7" s="109" t="s">
        <v>607</v>
      </c>
      <c r="J7" s="101">
        <f>CZeroCh</f>
        <v>2.33</v>
      </c>
      <c r="K7" s="52" t="s">
        <v>236</v>
      </c>
      <c r="L7" s="55">
        <v>402</v>
      </c>
    </row>
    <row r="8" spans="1:12" x14ac:dyDescent="0.25">
      <c r="A8" s="54" t="s">
        <v>380</v>
      </c>
      <c r="B8" s="52">
        <f>RresetCh</f>
        <v>102</v>
      </c>
      <c r="C8" s="52" t="s">
        <v>388</v>
      </c>
      <c r="D8" s="55">
        <v>402</v>
      </c>
      <c r="E8" s="54" t="s">
        <v>379</v>
      </c>
      <c r="F8" s="52">
        <f>Vz</f>
        <v>5.6</v>
      </c>
      <c r="G8" s="52" t="s">
        <v>391</v>
      </c>
      <c r="H8" s="55" t="s">
        <v>395</v>
      </c>
      <c r="I8" s="111" t="s">
        <v>576</v>
      </c>
      <c r="J8" s="100">
        <f>RLEDCh</f>
        <v>0.8</v>
      </c>
      <c r="K8" s="52" t="s">
        <v>387</v>
      </c>
      <c r="L8" s="55">
        <v>402</v>
      </c>
    </row>
    <row r="9" spans="1:12" ht="15.75" thickBot="1" x14ac:dyDescent="0.3">
      <c r="A9" s="54" t="s">
        <v>80</v>
      </c>
      <c r="B9" s="52">
        <f>RBCh</f>
        <v>10.199999999999999</v>
      </c>
      <c r="C9" s="52" t="s">
        <v>388</v>
      </c>
      <c r="D9" s="55">
        <v>603</v>
      </c>
      <c r="E9" s="54" t="s">
        <v>238</v>
      </c>
      <c r="F9" s="52">
        <f>CbootCh</f>
        <v>220</v>
      </c>
      <c r="G9" s="52" t="s">
        <v>236</v>
      </c>
      <c r="H9" s="55">
        <v>603</v>
      </c>
      <c r="I9" s="112" t="s">
        <v>376</v>
      </c>
      <c r="J9" s="57">
        <f>Rpulldown_Primary</f>
        <v>50</v>
      </c>
      <c r="K9" s="57" t="s">
        <v>387</v>
      </c>
      <c r="L9" s="58">
        <v>402</v>
      </c>
    </row>
    <row r="10" spans="1:12" x14ac:dyDescent="0.25">
      <c r="A10" s="105" t="s">
        <v>381</v>
      </c>
      <c r="B10" s="106">
        <f>CclampCh</f>
        <v>0.2</v>
      </c>
      <c r="C10" s="106" t="s">
        <v>56</v>
      </c>
      <c r="D10" s="110" t="s">
        <v>425</v>
      </c>
      <c r="E10" s="105" t="s">
        <v>378</v>
      </c>
      <c r="F10" s="106">
        <f>CvccCh</f>
        <v>39</v>
      </c>
      <c r="G10" s="106" t="s">
        <v>56</v>
      </c>
      <c r="H10" s="110" t="s">
        <v>425</v>
      </c>
      <c r="I10" s="135" t="s">
        <v>385</v>
      </c>
      <c r="J10" s="136"/>
      <c r="K10" s="76" t="s">
        <v>386</v>
      </c>
      <c r="L10" s="75"/>
    </row>
    <row r="11" spans="1:12" ht="15.75" thickBot="1" x14ac:dyDescent="0.3">
      <c r="A11" s="54" t="s">
        <v>174</v>
      </c>
      <c r="B11" s="52">
        <f>RclampPri</f>
        <v>51.1</v>
      </c>
      <c r="C11" s="52" t="s">
        <v>387</v>
      </c>
      <c r="D11" s="55">
        <v>1206</v>
      </c>
      <c r="E11" s="54" t="s">
        <v>392</v>
      </c>
      <c r="F11" s="52">
        <f>HVRes1</f>
        <v>1.5</v>
      </c>
      <c r="G11" s="52" t="s">
        <v>387</v>
      </c>
      <c r="H11" s="55">
        <v>1206</v>
      </c>
      <c r="I11" s="104" t="str">
        <f>IF(Tzvs=360,"NCP1568S02",IF(Tzvs=180,"NCP1568G03","NCP1568G04"))</f>
        <v>NCP1568S02</v>
      </c>
      <c r="J11" s="57"/>
      <c r="K11" s="57" t="str">
        <f>IF(Tzvs=360,"NCP51530A","NCP51530B")</f>
        <v>NCP51530A</v>
      </c>
      <c r="L11" s="58"/>
    </row>
    <row r="12" spans="1:12" ht="15.75" thickBot="1" x14ac:dyDescent="0.3">
      <c r="A12" s="56" t="s">
        <v>670</v>
      </c>
      <c r="B12" s="57">
        <f>VBridgeRate</f>
        <v>800</v>
      </c>
      <c r="C12" s="57" t="s">
        <v>21</v>
      </c>
      <c r="D12" s="58">
        <f>NBridge</f>
        <v>2</v>
      </c>
      <c r="E12" s="56" t="s">
        <v>669</v>
      </c>
      <c r="F12" s="57">
        <f>HVRes2</f>
        <v>1.5</v>
      </c>
      <c r="G12" s="57" t="s">
        <v>387</v>
      </c>
      <c r="H12" s="58">
        <v>1206</v>
      </c>
    </row>
  </sheetData>
  <mergeCells count="1">
    <mergeCell ref="I10:J10"/>
  </mergeCells>
  <pageMargins left="0.7" right="0.7" top="0.75" bottom="0.75" header="0.3" footer="0.3"/>
  <pageSetup orientation="landscape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Visio.Drawing.15" shapeId="8198" r:id="rId4">
          <objectPr defaultSize="0" autoPict="0" r:id="rId5">
            <anchor moveWithCells="1">
              <from>
                <xdr:col>0</xdr:col>
                <xdr:colOff>0</xdr:colOff>
                <xdr:row>12</xdr:row>
                <xdr:rowOff>19050</xdr:rowOff>
              </from>
              <to>
                <xdr:col>11</xdr:col>
                <xdr:colOff>600075</xdr:colOff>
                <xdr:row>34</xdr:row>
                <xdr:rowOff>47625</xdr:rowOff>
              </to>
            </anchor>
          </objectPr>
        </oleObject>
      </mc:Choice>
      <mc:Fallback>
        <oleObject progId="Visio.Drawing.15" shapeId="8198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58"/>
  <sheetViews>
    <sheetView topLeftCell="A57" zoomScale="85" zoomScaleNormal="85" workbookViewId="0">
      <selection activeCell="D86" sqref="D86"/>
    </sheetView>
  </sheetViews>
  <sheetFormatPr defaultRowHeight="15" x14ac:dyDescent="0.25"/>
  <cols>
    <col min="1" max="1" width="38.42578125" bestFit="1" customWidth="1"/>
    <col min="2" max="2" width="15.85546875" bestFit="1" customWidth="1"/>
    <col min="3" max="3" width="8.42578125" bestFit="1" customWidth="1"/>
    <col min="5" max="5" width="12.28515625" bestFit="1" customWidth="1"/>
    <col min="6" max="6" width="12.7109375" bestFit="1" customWidth="1"/>
    <col min="7" max="7" width="10.5703125" customWidth="1"/>
    <col min="13" max="13" width="14.85546875" bestFit="1" customWidth="1"/>
    <col min="17" max="18" width="12.28515625" bestFit="1" customWidth="1"/>
    <col min="19" max="19" width="15.7109375" bestFit="1" customWidth="1"/>
  </cols>
  <sheetData>
    <row r="1" spans="1:8" x14ac:dyDescent="0.25">
      <c r="A1" t="s">
        <v>359</v>
      </c>
      <c r="B1" t="s">
        <v>360</v>
      </c>
      <c r="C1" t="s">
        <v>361</v>
      </c>
    </row>
    <row r="2" spans="1:8" x14ac:dyDescent="0.25">
      <c r="A2" t="s">
        <v>32</v>
      </c>
      <c r="B2" s="3">
        <f>Nch*VoutMin*(1-VoutTol)/(Nch*VoutMin*(1-VoutTol)+VinMin)</f>
        <v>0.18919701527318564</v>
      </c>
      <c r="C2" t="s">
        <v>5</v>
      </c>
      <c r="E2" t="s">
        <v>624</v>
      </c>
      <c r="F2">
        <f>SQRT(2)*VinMinAC</f>
        <v>127.27922061357856</v>
      </c>
    </row>
    <row r="3" spans="1:8" x14ac:dyDescent="0.25">
      <c r="A3" t="s">
        <v>415</v>
      </c>
      <c r="B3">
        <f>((2-24/(VinMin+Nch*VoutMax))*COSSLow+(24/(VinMin+Nch*VoutMax))*COSSLow10V)/2</f>
        <v>29.999999999999996</v>
      </c>
      <c r="C3" t="s">
        <v>29</v>
      </c>
      <c r="E3" t="s">
        <v>625</v>
      </c>
      <c r="F3">
        <f>SQRT(2)*VinNomAC</f>
        <v>226.27416997969522</v>
      </c>
    </row>
    <row r="4" spans="1:8" x14ac:dyDescent="0.25">
      <c r="A4" t="s">
        <v>414</v>
      </c>
      <c r="B4">
        <f>COSSHigh</f>
        <v>30</v>
      </c>
      <c r="C4" t="s">
        <v>29</v>
      </c>
      <c r="E4" t="s">
        <v>626</v>
      </c>
      <c r="F4">
        <f>SQRT(2)*VinMaxAC</f>
        <v>374.7665940288702</v>
      </c>
    </row>
    <row r="5" spans="1:8" x14ac:dyDescent="0.25">
      <c r="A5" t="s">
        <v>35</v>
      </c>
      <c r="B5">
        <f>COSSSec</f>
        <v>1000</v>
      </c>
      <c r="C5" t="s">
        <v>29</v>
      </c>
    </row>
    <row r="6" spans="1:8" x14ac:dyDescent="0.25">
      <c r="A6" t="s">
        <v>33</v>
      </c>
      <c r="B6">
        <f>CossLowAVG+CossHighAVG+CossSecAVG/Nch^2+Cdrv+CXFMR</f>
        <v>107.77777777777777</v>
      </c>
      <c r="C6" t="s">
        <v>29</v>
      </c>
      <c r="F6">
        <f>(SQRT(2*Pout/(Lch*10^-6*FswVinminVoutmaxIoutMVout*10^3)))</f>
        <v>2.3392443011637361</v>
      </c>
    </row>
    <row r="7" spans="1:8" x14ac:dyDescent="0.25">
      <c r="A7" t="s">
        <v>36</v>
      </c>
      <c r="B7">
        <f>-CswTotal*10^-12*(VinMax+Nch*VoutMax)/(Tzvs*10^-9)</f>
        <v>-0.14812456673086544</v>
      </c>
      <c r="C7" t="s">
        <v>11</v>
      </c>
    </row>
    <row r="8" spans="1:8" x14ac:dyDescent="0.25">
      <c r="A8" t="s">
        <v>39</v>
      </c>
      <c r="B8">
        <f>1/(100*10^-12*FminACF*1000)/1000</f>
        <v>80</v>
      </c>
      <c r="C8" t="s">
        <v>40</v>
      </c>
    </row>
    <row r="9" spans="1:8" x14ac:dyDescent="0.25">
      <c r="A9" t="s">
        <v>42</v>
      </c>
      <c r="B9">
        <f>VoutMin*(1-VoutTol)</f>
        <v>4.95</v>
      </c>
      <c r="C9" t="s">
        <v>21</v>
      </c>
    </row>
    <row r="10" spans="1:8" x14ac:dyDescent="0.25">
      <c r="A10" t="s">
        <v>43</v>
      </c>
      <c r="B10">
        <f>VoutMax*(1+VoutTol)</f>
        <v>20.2</v>
      </c>
      <c r="C10" t="s">
        <v>21</v>
      </c>
      <c r="E10" t="s">
        <v>663</v>
      </c>
      <c r="F10" t="s">
        <v>356</v>
      </c>
      <c r="G10" t="s">
        <v>38</v>
      </c>
      <c r="H10" t="s">
        <v>405</v>
      </c>
    </row>
    <row r="11" spans="1:8" x14ac:dyDescent="0.25">
      <c r="A11" t="s">
        <v>48</v>
      </c>
      <c r="B11" s="5">
        <f>(EffFL-Eff4W)/(IoutVoutMax*VoutMax)*IoutMax*VoutminTol+Eff4W-(EffFL-Eff4W)/(IoutVoutMax*VoutMax)*4</f>
        <v>0.86335384615384614</v>
      </c>
      <c r="C11" t="s">
        <v>5</v>
      </c>
      <c r="E11">
        <v>1</v>
      </c>
      <c r="F11">
        <v>360</v>
      </c>
      <c r="H11" t="s">
        <v>404</v>
      </c>
    </row>
    <row r="12" spans="1:8" x14ac:dyDescent="0.25">
      <c r="A12" t="s">
        <v>50</v>
      </c>
      <c r="B12">
        <f>VoutminTol*IoutMax*(1-nLinVoutminIoutMax)</f>
        <v>2.029195384615385</v>
      </c>
      <c r="C12" t="s">
        <v>4</v>
      </c>
      <c r="E12">
        <v>2</v>
      </c>
      <c r="F12">
        <v>180</v>
      </c>
      <c r="H12" t="s">
        <v>393</v>
      </c>
    </row>
    <row r="13" spans="1:8" x14ac:dyDescent="0.25">
      <c r="A13" t="s">
        <v>49</v>
      </c>
      <c r="B13">
        <f>PcircVoutminIoutMax/VoutminTol</f>
        <v>0.40993846153846158</v>
      </c>
      <c r="C13" t="s">
        <v>11</v>
      </c>
      <c r="F13">
        <v>220</v>
      </c>
    </row>
    <row r="14" spans="1:8" x14ac:dyDescent="0.25">
      <c r="A14" t="s">
        <v>45</v>
      </c>
      <c r="B14">
        <v>300</v>
      </c>
      <c r="C14" t="s">
        <v>38</v>
      </c>
    </row>
    <row r="15" spans="1:8" x14ac:dyDescent="0.25">
      <c r="A15" t="s">
        <v>41</v>
      </c>
      <c r="B15" s="3">
        <f>VoutminTol*Nch/(VoutminTol*Nch+VinMin)+(2*FminACF*10^3*IoutMax*Lleak*10^-6/(Nch*EffFL*VinMin))</f>
        <v>0.19183704955180927</v>
      </c>
      <c r="C15" t="s">
        <v>5</v>
      </c>
    </row>
    <row r="16" spans="1:8" x14ac:dyDescent="0.25">
      <c r="A16" t="s">
        <v>44</v>
      </c>
      <c r="B16">
        <f>10^9*IF(CswTotal*10^-12*(VinMin+VoutminTol*Nch)*((1-DutyACFVinminVoutminIoutMax)*Nch)/(IoutMax*2)&lt;RiseMax,CswTotal*10^-12*(VinMin+VoutminTol*Nch)*((1-DutyACFVinminVoutminIoutMax)*Nch)/(IoutMax*2),RiseMax)</f>
        <v>13.67320515415814</v>
      </c>
      <c r="C16" t="s">
        <v>38</v>
      </c>
    </row>
    <row r="17" spans="1:3" x14ac:dyDescent="0.25">
      <c r="A17" t="s">
        <v>46</v>
      </c>
      <c r="B17" s="4">
        <f>1/((1/((VinMin*Nch*VoutminTol/(Nch*VoutminTol+VinMin))/(2*Lch*10^-6*((IoutMax+IcircVoutminIoutMax)/((1-Nch*VoutminTol/(Nch*VoutminTol+VinMin))*Nch)-InegVinminVoutmin))))+Tzvs*10^-9+RiseTimeVinminVoutminIoutMax*10^-9)/1000</f>
        <v>113.17596675191727</v>
      </c>
      <c r="C17" t="s">
        <v>6</v>
      </c>
    </row>
    <row r="18" spans="1:3" x14ac:dyDescent="0.25">
      <c r="A18" t="s">
        <v>53</v>
      </c>
      <c r="B18">
        <f>1/(FswVinminVoutminIoutMax*1000*100*10^-12)/1000</f>
        <v>88.357981707548305</v>
      </c>
      <c r="C18" t="s">
        <v>40</v>
      </c>
    </row>
    <row r="19" spans="1:3" x14ac:dyDescent="0.25">
      <c r="A19" t="s">
        <v>54</v>
      </c>
      <c r="B19" s="3">
        <f>Nch*VoutminTol/(Nch*VoutminTol+VinMax)</f>
        <v>7.3430044504194741E-2</v>
      </c>
      <c r="C19" t="s">
        <v>5</v>
      </c>
    </row>
    <row r="20" spans="1:3" x14ac:dyDescent="0.25">
      <c r="A20" t="s">
        <v>55</v>
      </c>
      <c r="B20">
        <f>(DclampcapRec-1)^2/(16*PI()^2*(FminACF*1000)^2*Lleak*10^-6)*10^6</f>
        <v>0.13917994643558163</v>
      </c>
      <c r="C20" s="3" t="s">
        <v>56</v>
      </c>
    </row>
    <row r="21" spans="1:3" x14ac:dyDescent="0.25">
      <c r="A21" t="s">
        <v>67</v>
      </c>
      <c r="B21" s="4">
        <f>VoutmaxTol*IoutVoutMax*(1-nLinVoutmaxIoutVoutMax)</f>
        <v>4.8661799999999946</v>
      </c>
      <c r="C21" t="s">
        <v>4</v>
      </c>
    </row>
    <row r="22" spans="1:3" x14ac:dyDescent="0.25">
      <c r="A22" t="s">
        <v>68</v>
      </c>
      <c r="B22" s="4">
        <f>PcircVoutmaxIoutVoutMax/VoutmaxTol</f>
        <v>0.24089999999999975</v>
      </c>
      <c r="C22" t="s">
        <v>11</v>
      </c>
    </row>
    <row r="23" spans="1:3" x14ac:dyDescent="0.25">
      <c r="A23" t="s">
        <v>69</v>
      </c>
      <c r="B23" s="5">
        <f>VoutmaxTol*Nch/(VoutmaxTol*Nch+VinMin)+(2*FminACF*10^3*IoutVoutMax*Lleak*10^-6/(Nch*EffFL*VinMin))</f>
        <v>0.49062718201238714</v>
      </c>
      <c r="C23" t="s">
        <v>5</v>
      </c>
    </row>
    <row r="24" spans="1:3" x14ac:dyDescent="0.25">
      <c r="A24" t="s">
        <v>70</v>
      </c>
      <c r="B24" s="4">
        <f>10^9*IF(CswTotal*10^-12*(VinMin+VoutmaxTol*Nch)*((1-DutyACFVinminVoutmaxIoutVoutMax)*Nch)/(IoutVoutMax*2)&lt;RiseMax,CswTotal*10^-12*(VinMin+VoutmaxTol*Nch)*((1-DutyACFVinminVoutmaxIoutVoutMax)*Nch)/(IoutVoutMax*2),RiseMax)</f>
        <v>12.591949127266165</v>
      </c>
      <c r="C24" t="s">
        <v>38</v>
      </c>
    </row>
    <row r="25" spans="1:3" x14ac:dyDescent="0.25">
      <c r="A25" t="s">
        <v>72</v>
      </c>
      <c r="B25" s="5">
        <f>(EffFL-Eff4W)/(IoutVoutMax*VoutMax)*IoutVoutMax*VoutmaxTol+Eff4W-(EffFL-Eff4W)/(IoutVoutMax*VoutMax)*4</f>
        <v>0.92587692307692315</v>
      </c>
      <c r="C25" t="s">
        <v>5</v>
      </c>
    </row>
    <row r="26" spans="1:3" x14ac:dyDescent="0.25">
      <c r="A26" t="s">
        <v>71</v>
      </c>
      <c r="B26" s="4">
        <f>-CswTotal*10^-12*(VinMin+Nch*VoutmaxTol)/(Tzvs*10^-9)</f>
        <v>-7.4390383949126893E-2</v>
      </c>
      <c r="C26" t="s">
        <v>11</v>
      </c>
    </row>
    <row r="27" spans="1:3" x14ac:dyDescent="0.25">
      <c r="A27" t="s">
        <v>66</v>
      </c>
      <c r="B27" s="4">
        <f>IF(1/((1/((VinMin*Nch*VoutmaxTol/(Nch*VoutmaxTol+VinMin))/(2*Lch*10^-6*((IoutVoutMax+IcircVoutmaxIoutVoutMax)/((1-Nch*VoutmaxTol/(Nch*VoutmaxTol+VinMin))*Nch)-InegVinminVoutmax))))+Tzvs*10^-9+RiseTimeVinminVoutmaxIoutVoutMax*10^-9)/1000&lt;FswACFMinChRt,FswACFMinChRt,IF(1/((1/((VinMin*Nch*VoutmaxTol/(Nch*VoutmaxTol+VinMin))/(2*Lch*10^-6*((IoutVoutMax+IcircVoutmaxIoutVoutMax)/((1-Nch*VoutmaxTol/(Nch*VoutmaxTol+VinMin))*Nch)-InegVinminVoutmax))))+Tzvs*10^-9+RiseTimeVinminVoutmaxIoutVoutMax*10^-9)/1000&gt;FswACFMax,FswACFMax,1/((1/((VinMin*Nch*VoutmaxTol/(Nch*VoutmaxTol+VinMin))/(2*Lch*10^-6*((IoutVoutMax+IcircVoutmaxIoutVoutMax)/((1-Nch*VoutmaxTol/(Nch*VoutmaxTol+VinMin))*Nch)-InegVinminVoutmax))))+Tzvs*10^-9+RiseTimeVinminVoutmaxIoutVoutMax*10^-9)/1000))</f>
        <v>197.97527094466076</v>
      </c>
      <c r="C27" t="s">
        <v>6</v>
      </c>
    </row>
    <row r="28" spans="1:3" x14ac:dyDescent="0.25">
      <c r="A28" t="s">
        <v>65</v>
      </c>
      <c r="B28" s="4">
        <f>IF(FswVinminVoutmaxIoutMVout&lt;175,0.785,IF(FswVinminVoutmaxIoutMVout&lt;213,0.75,IF(FswVinminVoutmaxIoutMVout&lt;238,0.71,IF(FswVinminVoutmaxIoutMVout&lt;250,0.68,IF(FswVinminVoutmaxIoutMVout&lt;265,0.65,IF(FswVinminVoutmaxIoutMVout&lt;300,0.62,0.59))))))</f>
        <v>0.75</v>
      </c>
      <c r="C28" t="s">
        <v>21</v>
      </c>
    </row>
    <row r="29" spans="1:3" x14ac:dyDescent="0.25">
      <c r="A29" t="s">
        <v>73</v>
      </c>
      <c r="B29" s="4">
        <f>1000*VLimVinminVoutmaxIoutMVout/(SQRT(2*Pout/(Lch*10^-6*FswVinminVoutmaxIoutMVout*10^3)))*Pmargin</f>
        <v>256.49309039740302</v>
      </c>
      <c r="C29" t="s">
        <v>63</v>
      </c>
    </row>
    <row r="30" spans="1:3" x14ac:dyDescent="0.25">
      <c r="A30" t="s">
        <v>76</v>
      </c>
      <c r="B30">
        <f>(VinMin*DutyACFVinminVoutmaxIoutVoutMax/(Lch*10^-6*FswVinminVoutmaxIoutMVout*10^3)*SQRT(DutyACFVinminVoutmaxIoutVoutMax/3))^2*RSCh*10^-3</f>
        <v>0.28249073012707515</v>
      </c>
      <c r="C30" t="s">
        <v>4</v>
      </c>
    </row>
    <row r="31" spans="1:3" x14ac:dyDescent="0.25">
      <c r="A31" t="s">
        <v>80</v>
      </c>
      <c r="B31">
        <f>NCT*VLimVinminVoutmaxIoutMVout/(SQRT(Pout*2/(Lch*10^-6*10^3*FSWMin)))</f>
        <v>12.738116634126703</v>
      </c>
      <c r="C31" t="s">
        <v>74</v>
      </c>
    </row>
    <row r="32" spans="1:3" x14ac:dyDescent="0.25">
      <c r="A32" t="s">
        <v>81</v>
      </c>
      <c r="B32">
        <f>Rburden*Pmargin</f>
        <v>10.190493307301363</v>
      </c>
      <c r="C32" t="s">
        <v>74</v>
      </c>
    </row>
    <row r="33" spans="1:27" x14ac:dyDescent="0.25">
      <c r="A33" t="s">
        <v>84</v>
      </c>
      <c r="B33">
        <v>45</v>
      </c>
      <c r="C33" t="s">
        <v>38</v>
      </c>
      <c r="U33">
        <f>INDEX(K35:K71,MATCH(MIN(Z35:Z71),Z35:Z71,0))</f>
        <v>23</v>
      </c>
      <c r="V33">
        <f>MATCH(MIN(Z35:Z71),Z35:Z71,0)</f>
        <v>16</v>
      </c>
    </row>
    <row r="34" spans="1:27" x14ac:dyDescent="0.25">
      <c r="A34" t="s">
        <v>85</v>
      </c>
      <c r="B34">
        <f>AVERAGE(VinMin*CompDel*RSCh*10^-9*10^-3/(Lch*10^-6*OppCVinmin*10^-6),VinMax*CompDel*RSCh*10^-9*10^-3/(Lch*10^-6*OppCVinmax*10^-6))</f>
        <v>412.46150707537436</v>
      </c>
      <c r="C34" t="s">
        <v>74</v>
      </c>
      <c r="K34" t="s">
        <v>477</v>
      </c>
      <c r="L34" t="s">
        <v>478</v>
      </c>
      <c r="M34" t="s">
        <v>481</v>
      </c>
      <c r="N34" t="s">
        <v>484</v>
      </c>
      <c r="O34" t="s">
        <v>483</v>
      </c>
      <c r="P34" t="s">
        <v>480</v>
      </c>
      <c r="Q34" t="s">
        <v>482</v>
      </c>
      <c r="R34" t="s">
        <v>485</v>
      </c>
      <c r="S34" t="s">
        <v>486</v>
      </c>
      <c r="T34" t="s">
        <v>487</v>
      </c>
      <c r="U34" t="s">
        <v>488</v>
      </c>
      <c r="V34" t="s">
        <v>308</v>
      </c>
      <c r="X34" t="s">
        <v>490</v>
      </c>
      <c r="Y34" t="s">
        <v>491</v>
      </c>
      <c r="Z34" t="s">
        <v>489</v>
      </c>
    </row>
    <row r="35" spans="1:27" x14ac:dyDescent="0.25">
      <c r="A35" t="s">
        <v>86</v>
      </c>
      <c r="B35">
        <f>IF(VinMin&lt;29,13,IF(VinMin&lt;60,20.5,IF(VinMin&lt;90,24.4,IF(VinMin&lt;110,29.4,IF(VinMin&lt;140,33.3,IF(VinMin&lt;170,38.3,IF(VinMin&lt;180,42.2,IF(VinMin&lt;190,45,IF(VinMin&lt;220,50,IF(VinMin&lt;280,53.8,IF(VinMin&lt;350,64.7,IF(VinMin&lt;410,75.3,86.1))))))))))))</f>
        <v>33.299999999999997</v>
      </c>
      <c r="C35" t="s">
        <v>87</v>
      </c>
      <c r="K35">
        <v>8</v>
      </c>
      <c r="L35">
        <f t="shared" ref="L35:L71" si="0">ItransPriRMSVinminVoutmaxIoutMVout</f>
        <v>1.5303029528278986</v>
      </c>
      <c r="M35">
        <f t="shared" ref="M35:M71" si="1">K35*((BobbinOuterDiameter+BobbinInnerDiameter)/4)*2*PI()</f>
        <v>336.77873246482585</v>
      </c>
      <c r="N35">
        <f t="shared" ref="N35:N71" si="2">(0.0127*92^((36-AWGSp)/19.5))</f>
        <v>1.2699999999999999E-2</v>
      </c>
      <c r="O35">
        <f t="shared" ref="O35:O71" si="3">pcop*M35/1000/(N35*10^-6)</f>
        <v>0.45080617731512124</v>
      </c>
      <c r="P35">
        <f t="shared" ref="P35:P71" si="4">ROUND(((BobbinArea-(Tape*0.0254*2*PSInt+Tape*0.0254*PPSSInt)*Bwindow)*palocation/K35)/(N35*NpriLayers)*CircleInCircle*0.65*0.8,0)</f>
        <v>16</v>
      </c>
      <c r="Q35">
        <f t="shared" ref="Q35:Q71" si="5">DiameterAWG*10^-3/SkinDepthVinminVoutmaxIoutMVout*O35/P35+O35/P35</f>
        <v>5.2495436621646491E-2</v>
      </c>
      <c r="R35">
        <f>L35^2*Q35</f>
        <v>0.12293523754705275</v>
      </c>
      <c r="S35">
        <f>(Lch*10^-6*(ImaxACFVinminVoutmaxIoutMVout+InegVinminVoutmax))/(K35*Ae*10^-6)</f>
        <v>0.63854093029180403</v>
      </c>
      <c r="T35">
        <f t="shared" ref="T35:T71" si="6">IF(FswVinminVoutmaxIoutMVout&lt;250,(KH*FswVinminVoutmaxIoutMVout*10^3+Ke*(FswVinminVoutmaxIoutMVout*10^3)^2)*S35^xx,Kk*S35^alpha*(FswVinminVoutmaxIoutMVout*10^3)^beta)</f>
        <v>17151.594919423933</v>
      </c>
      <c r="U35">
        <f t="shared" ref="U35:U71" si="7">Ve*T35*10^-6</f>
        <v>25.7273923791359</v>
      </c>
      <c r="V35">
        <f t="shared" ref="V35:V71" si="8">U35*FwaveVinminVoutmaxIoutMVout</f>
        <v>20.859703050003482</v>
      </c>
      <c r="W35">
        <f t="shared" ref="W35:W71" si="9">ROUND(((BobbinArea-(Tape*0.0254*2*PSInt+Tape*0.0254*PPSSInt)*Bwindow)*salocation/(K35/Nch))/(CrossSectionalAreaofWireSec*NSecLayers)*CircleInCircle*0.65*0.8*InsulationSpace,0)</f>
        <v>46</v>
      </c>
      <c r="X35" s="4">
        <f t="shared" ref="X35:X71" si="10">DiameterAWGSec*10^-3/SkinDepthVinminVoutmaxIoutMVout*(O35/W35)/Nch+(O35/W35)/Nch</f>
        <v>3.4082617810103698E-3</v>
      </c>
      <c r="Y35">
        <f t="shared" ref="Y35:Y71" si="11">X35*ISECRMS^2</f>
        <v>0.1218445267743366</v>
      </c>
      <c r="Z35">
        <f t="shared" ref="Z35:Z71" si="12">V35+R35+Y35</f>
        <v>21.104482814324871</v>
      </c>
      <c r="AA35">
        <f t="shared" ref="AA35:AA71" si="13">(ROUNDDOWN((salocation*Bwindow*(BobbinOuterDiameter-BobbinInnerDiameter-Tape*0.0254*PPSSInt/2)/(K35*N35))*0.6/NSecLayers,0))</f>
        <v>54</v>
      </c>
    </row>
    <row r="36" spans="1:27" x14ac:dyDescent="0.25">
      <c r="A36" t="s">
        <v>88</v>
      </c>
      <c r="B36">
        <f>IF(VinMax&lt;29,13,IF(VinMax&lt;60,20.5,IF(VinMax&lt;90,24.4,IF(VinMax&lt;110,29.4,IF(VinMax&lt;140,33.3,IF(VinMax&lt;170,38.3,IF(VinMax&lt;180,42.2,IF(VinMax&lt;190,45,IF(VinMax&lt;220,50,IF(VinMax&lt;280,53.8,IF(VinMax&lt;350,64.7,IF(VinMax&lt;410,75.3,86.1))))))))))))</f>
        <v>75.3</v>
      </c>
      <c r="C36" t="s">
        <v>87</v>
      </c>
      <c r="K36">
        <v>9</v>
      </c>
      <c r="L36">
        <f t="shared" si="0"/>
        <v>1.5303029528278986</v>
      </c>
      <c r="M36">
        <f t="shared" si="1"/>
        <v>378.87607402292906</v>
      </c>
      <c r="N36">
        <f t="shared" si="2"/>
        <v>1.2699999999999999E-2</v>
      </c>
      <c r="O36">
        <f t="shared" si="3"/>
        <v>0.50715694947951129</v>
      </c>
      <c r="P36">
        <f t="shared" si="4"/>
        <v>15</v>
      </c>
      <c r="Q36">
        <f t="shared" si="5"/>
        <v>6.2994523945975781E-2</v>
      </c>
      <c r="R36">
        <f t="shared" ref="R36:R71" si="14">L36^2*Q36</f>
        <v>0.14752228505646328</v>
      </c>
      <c r="S36">
        <f t="shared" ref="S36:S71" si="15">(Lch*10^-6*(ImaxACFVinminVoutmaxIoutMVout+InegVinminVoutmax))/(K36*Ae*10^-6)</f>
        <v>0.56759193803715913</v>
      </c>
      <c r="T36">
        <f t="shared" si="6"/>
        <v>13045.994811624296</v>
      </c>
      <c r="U36">
        <f t="shared" si="7"/>
        <v>19.568992217436442</v>
      </c>
      <c r="V36">
        <f t="shared" si="8"/>
        <v>15.866488162810986</v>
      </c>
      <c r="W36">
        <f t="shared" si="9"/>
        <v>41</v>
      </c>
      <c r="X36" s="4">
        <f t="shared" si="10"/>
        <v>4.3018913943240642E-3</v>
      </c>
      <c r="Y36">
        <f t="shared" si="11"/>
        <v>0.15379156733102242</v>
      </c>
      <c r="Z36">
        <f t="shared" si="12"/>
        <v>16.167802015198472</v>
      </c>
      <c r="AA36">
        <f t="shared" si="13"/>
        <v>48</v>
      </c>
    </row>
    <row r="37" spans="1:27" x14ac:dyDescent="0.25">
      <c r="A37" t="s">
        <v>90</v>
      </c>
      <c r="B37">
        <f>FswACFMinChRt*0.5</f>
        <v>50.000000000000007</v>
      </c>
      <c r="C37" t="s">
        <v>6</v>
      </c>
      <c r="K37">
        <v>10</v>
      </c>
      <c r="L37">
        <f t="shared" si="0"/>
        <v>1.5303029528278986</v>
      </c>
      <c r="M37">
        <f t="shared" si="1"/>
        <v>420.97341558103227</v>
      </c>
      <c r="N37">
        <f t="shared" si="2"/>
        <v>1.2699999999999999E-2</v>
      </c>
      <c r="O37">
        <f t="shared" si="3"/>
        <v>0.5635077216439015</v>
      </c>
      <c r="P37">
        <f t="shared" si="4"/>
        <v>13</v>
      </c>
      <c r="Q37">
        <f t="shared" si="5"/>
        <v>8.0762210187148437E-2</v>
      </c>
      <c r="R37">
        <f t="shared" si="14"/>
        <v>0.18913113468777343</v>
      </c>
      <c r="S37" s="4">
        <f t="shared" si="15"/>
        <v>0.51083274423344327</v>
      </c>
      <c r="T37">
        <f t="shared" si="6"/>
        <v>10213.687145647466</v>
      </c>
      <c r="U37">
        <f t="shared" si="7"/>
        <v>15.320530718471197</v>
      </c>
      <c r="V37">
        <f t="shared" si="8"/>
        <v>12.421846592386732</v>
      </c>
      <c r="W37">
        <f t="shared" si="9"/>
        <v>37</v>
      </c>
      <c r="X37" s="4">
        <f t="shared" si="10"/>
        <v>5.2966230380566554E-3</v>
      </c>
      <c r="Y37">
        <f t="shared" si="11"/>
        <v>0.18935298079795551</v>
      </c>
      <c r="Z37">
        <f t="shared" si="12"/>
        <v>12.800330707872462</v>
      </c>
      <c r="AA37">
        <f t="shared" si="13"/>
        <v>43</v>
      </c>
    </row>
    <row r="38" spans="1:27" x14ac:dyDescent="0.25">
      <c r="A38" t="s">
        <v>91</v>
      </c>
      <c r="B38">
        <f>FswACFMinChRt*4.2</f>
        <v>420.00000000000006</v>
      </c>
      <c r="C38" t="s">
        <v>6</v>
      </c>
      <c r="K38">
        <v>11</v>
      </c>
      <c r="L38">
        <f t="shared" si="0"/>
        <v>1.5303029528278986</v>
      </c>
      <c r="M38">
        <f t="shared" si="1"/>
        <v>463.07075713913554</v>
      </c>
      <c r="N38">
        <f t="shared" si="2"/>
        <v>1.2699999999999999E-2</v>
      </c>
      <c r="O38">
        <f t="shared" si="3"/>
        <v>0.61985849380829172</v>
      </c>
      <c r="P38">
        <f t="shared" si="4"/>
        <v>12</v>
      </c>
      <c r="Q38">
        <f t="shared" si="5"/>
        <v>9.6241633806351895E-2</v>
      </c>
      <c r="R38">
        <f t="shared" si="14"/>
        <v>0.22538126883626336</v>
      </c>
      <c r="S38">
        <f t="shared" si="15"/>
        <v>0.46439340384858468</v>
      </c>
      <c r="T38">
        <f t="shared" si="6"/>
        <v>8185.1632047449366</v>
      </c>
      <c r="U38">
        <f t="shared" si="7"/>
        <v>12.277744807117404</v>
      </c>
      <c r="V38">
        <f t="shared" si="8"/>
        <v>9.9547636630243375</v>
      </c>
      <c r="W38">
        <f t="shared" si="9"/>
        <v>34</v>
      </c>
      <c r="X38" s="4">
        <f t="shared" si="10"/>
        <v>6.3403693426148794E-3</v>
      </c>
      <c r="Y38">
        <f t="shared" si="11"/>
        <v>0.22666665642578795</v>
      </c>
      <c r="Z38">
        <f t="shared" si="12"/>
        <v>10.40681158828639</v>
      </c>
      <c r="AA38">
        <f t="shared" si="13"/>
        <v>39</v>
      </c>
    </row>
    <row r="39" spans="1:27" x14ac:dyDescent="0.25">
      <c r="A39" t="s">
        <v>97</v>
      </c>
      <c r="B39">
        <v>10</v>
      </c>
      <c r="C39" t="s">
        <v>87</v>
      </c>
      <c r="K39">
        <v>12</v>
      </c>
      <c r="L39">
        <f t="shared" si="0"/>
        <v>1.5303029528278986</v>
      </c>
      <c r="M39">
        <f t="shared" si="1"/>
        <v>505.16809869723875</v>
      </c>
      <c r="N39">
        <f t="shared" si="2"/>
        <v>1.2699999999999999E-2</v>
      </c>
      <c r="O39">
        <f t="shared" si="3"/>
        <v>0.67620926597268172</v>
      </c>
      <c r="P39">
        <f t="shared" si="4"/>
        <v>11</v>
      </c>
      <c r="Q39">
        <f t="shared" si="5"/>
        <v>0.11453549808359231</v>
      </c>
      <c r="R39">
        <f t="shared" si="14"/>
        <v>0.26822233646629684</v>
      </c>
      <c r="S39">
        <f t="shared" si="15"/>
        <v>0.42569395352786937</v>
      </c>
      <c r="T39">
        <f t="shared" si="6"/>
        <v>6687.2031427637057</v>
      </c>
      <c r="U39">
        <f t="shared" si="7"/>
        <v>10.030804714145557</v>
      </c>
      <c r="V39">
        <f t="shared" si="8"/>
        <v>8.132950460200469</v>
      </c>
      <c r="W39">
        <f t="shared" si="9"/>
        <v>31</v>
      </c>
      <c r="X39" s="4">
        <f t="shared" si="10"/>
        <v>7.5861310609585657E-3</v>
      </c>
      <c r="Y39">
        <f t="shared" si="11"/>
        <v>0.27120233378803954</v>
      </c>
      <c r="Z39">
        <f t="shared" si="12"/>
        <v>8.6723751304548049</v>
      </c>
      <c r="AA39">
        <f t="shared" si="13"/>
        <v>36</v>
      </c>
    </row>
    <row r="40" spans="1:27" x14ac:dyDescent="0.25">
      <c r="A40" t="s">
        <v>101</v>
      </c>
      <c r="B40">
        <f>Naux1/Nsec</f>
        <v>0.75</v>
      </c>
      <c r="C40" t="s">
        <v>102</v>
      </c>
      <c r="K40">
        <v>13</v>
      </c>
      <c r="L40">
        <f t="shared" si="0"/>
        <v>1.5303029528278986</v>
      </c>
      <c r="M40">
        <f t="shared" si="1"/>
        <v>547.26544025534201</v>
      </c>
      <c r="N40">
        <f t="shared" si="2"/>
        <v>1.2699999999999999E-2</v>
      </c>
      <c r="O40">
        <f t="shared" si="3"/>
        <v>0.73256003813707204</v>
      </c>
      <c r="P40">
        <f t="shared" si="4"/>
        <v>10</v>
      </c>
      <c r="Q40">
        <f t="shared" si="5"/>
        <v>0.13648813521628089</v>
      </c>
      <c r="R40">
        <f t="shared" si="14"/>
        <v>0.31963161762233722</v>
      </c>
      <c r="S40">
        <f t="shared" si="15"/>
        <v>0.39294826479495631</v>
      </c>
      <c r="T40">
        <f t="shared" si="6"/>
        <v>5552.5457231250539</v>
      </c>
      <c r="U40">
        <f t="shared" si="7"/>
        <v>8.3288185846875802</v>
      </c>
      <c r="V40">
        <f t="shared" si="8"/>
        <v>6.7529845183543804</v>
      </c>
      <c r="W40">
        <f t="shared" si="9"/>
        <v>28</v>
      </c>
      <c r="X40" s="4">
        <f t="shared" si="10"/>
        <v>9.0988417189473286E-3</v>
      </c>
      <c r="Y40">
        <f t="shared" si="11"/>
        <v>0.3252813705850594</v>
      </c>
      <c r="Z40">
        <f t="shared" si="12"/>
        <v>7.3978975065617769</v>
      </c>
      <c r="AA40">
        <f t="shared" si="13"/>
        <v>33</v>
      </c>
    </row>
    <row r="41" spans="1:27" x14ac:dyDescent="0.25">
      <c r="A41" t="s">
        <v>103</v>
      </c>
      <c r="B41">
        <v>4</v>
      </c>
      <c r="C41" t="s">
        <v>104</v>
      </c>
      <c r="K41">
        <v>14</v>
      </c>
      <c r="L41">
        <f t="shared" si="0"/>
        <v>1.5303029528278986</v>
      </c>
      <c r="M41">
        <f t="shared" si="1"/>
        <v>589.36278181344517</v>
      </c>
      <c r="N41">
        <f t="shared" si="2"/>
        <v>1.2699999999999999E-2</v>
      </c>
      <c r="O41">
        <f t="shared" si="3"/>
        <v>0.78891081030146204</v>
      </c>
      <c r="P41">
        <f t="shared" si="4"/>
        <v>9</v>
      </c>
      <c r="Q41">
        <f t="shared" si="5"/>
        <v>0.1633191361562335</v>
      </c>
      <c r="R41">
        <f t="shared" si="14"/>
        <v>0.38246518347971964</v>
      </c>
      <c r="S41">
        <f t="shared" si="15"/>
        <v>0.36488053159531658</v>
      </c>
      <c r="T41">
        <f t="shared" si="6"/>
        <v>4674.413461697477</v>
      </c>
      <c r="U41">
        <f t="shared" si="7"/>
        <v>7.0116201925462152</v>
      </c>
      <c r="V41">
        <f t="shared" si="8"/>
        <v>5.6850034764710458</v>
      </c>
      <c r="W41">
        <f t="shared" si="9"/>
        <v>26</v>
      </c>
      <c r="X41" s="4">
        <f t="shared" si="10"/>
        <v>1.0552502821974414E-2</v>
      </c>
      <c r="Y41">
        <f t="shared" si="11"/>
        <v>0.37724940020515751</v>
      </c>
      <c r="Z41">
        <f t="shared" si="12"/>
        <v>6.4447180601559229</v>
      </c>
      <c r="AA41">
        <f t="shared" si="13"/>
        <v>31</v>
      </c>
    </row>
    <row r="42" spans="1:27" x14ac:dyDescent="0.25">
      <c r="A42" t="s">
        <v>105</v>
      </c>
      <c r="B42">
        <f>SQRT(2*DtoATrans*Lch*10^-6*VoutMax/(FswDCMMax*10^3*VinMin^2))</f>
        <v>2.1773242158072692E-6</v>
      </c>
      <c r="C42" t="s">
        <v>111</v>
      </c>
      <c r="K42">
        <v>15</v>
      </c>
      <c r="L42">
        <f t="shared" si="0"/>
        <v>1.5303029528278986</v>
      </c>
      <c r="M42">
        <f t="shared" si="1"/>
        <v>631.46012337154843</v>
      </c>
      <c r="N42">
        <f t="shared" si="2"/>
        <v>1.2699999999999999E-2</v>
      </c>
      <c r="O42">
        <f t="shared" si="3"/>
        <v>0.84526158246585226</v>
      </c>
      <c r="P42">
        <f t="shared" si="4"/>
        <v>9</v>
      </c>
      <c r="Q42">
        <f t="shared" si="5"/>
        <v>0.17498478873882162</v>
      </c>
      <c r="R42">
        <f t="shared" si="14"/>
        <v>0.40978412515684248</v>
      </c>
      <c r="S42">
        <f t="shared" si="15"/>
        <v>0.34055516282229548</v>
      </c>
      <c r="T42">
        <f t="shared" si="6"/>
        <v>3982.1953060603755</v>
      </c>
      <c r="U42">
        <f t="shared" si="7"/>
        <v>5.9732929590905632</v>
      </c>
      <c r="V42">
        <f t="shared" si="8"/>
        <v>4.8431304471553558</v>
      </c>
      <c r="W42">
        <f t="shared" si="9"/>
        <v>25</v>
      </c>
      <c r="X42" s="4">
        <f t="shared" si="10"/>
        <v>1.1758503144485778E-2</v>
      </c>
      <c r="Y42">
        <f t="shared" si="11"/>
        <v>0.42036361737146133</v>
      </c>
      <c r="Z42">
        <f t="shared" si="12"/>
        <v>5.6732781896836597</v>
      </c>
      <c r="AA42">
        <f t="shared" si="13"/>
        <v>29</v>
      </c>
    </row>
    <row r="43" spans="1:27" x14ac:dyDescent="0.25">
      <c r="A43" t="s">
        <v>106</v>
      </c>
      <c r="B43">
        <f>SQRT(2*DtoATrans*Lch*10^-6*VoutMin/(FswDCMMax*10^3*VinMin^2))</f>
        <v>1.0886621079036346E-6</v>
      </c>
      <c r="C43" t="s">
        <v>111</v>
      </c>
      <c r="K43">
        <v>16</v>
      </c>
      <c r="L43">
        <f t="shared" si="0"/>
        <v>1.5303029528278986</v>
      </c>
      <c r="M43">
        <f t="shared" si="1"/>
        <v>673.5574649296517</v>
      </c>
      <c r="N43">
        <f t="shared" si="2"/>
        <v>1.2699999999999999E-2</v>
      </c>
      <c r="O43">
        <f t="shared" si="3"/>
        <v>0.90161235463024247</v>
      </c>
      <c r="P43">
        <f t="shared" si="4"/>
        <v>8</v>
      </c>
      <c r="Q43">
        <f t="shared" si="5"/>
        <v>0.20998174648658596</v>
      </c>
      <c r="R43">
        <f t="shared" si="14"/>
        <v>0.49174095018821101</v>
      </c>
      <c r="S43">
        <f t="shared" si="15"/>
        <v>0.31927046514590202</v>
      </c>
      <c r="T43">
        <f t="shared" si="6"/>
        <v>3427.7712446078322</v>
      </c>
      <c r="U43">
        <f t="shared" si="7"/>
        <v>5.1416568669117479</v>
      </c>
      <c r="V43">
        <f t="shared" si="8"/>
        <v>4.1688420593985063</v>
      </c>
      <c r="W43">
        <f t="shared" si="9"/>
        <v>23</v>
      </c>
      <c r="X43" s="4">
        <f t="shared" si="10"/>
        <v>1.3633047124041479E-2</v>
      </c>
      <c r="Y43">
        <f t="shared" si="11"/>
        <v>0.48737810709734641</v>
      </c>
      <c r="Z43">
        <f t="shared" si="12"/>
        <v>5.1479611166840638</v>
      </c>
      <c r="AA43">
        <f t="shared" si="13"/>
        <v>27</v>
      </c>
    </row>
    <row r="44" spans="1:27" x14ac:dyDescent="0.25">
      <c r="A44" t="s">
        <v>107</v>
      </c>
      <c r="B44">
        <f>VinMin*TonDCMVinminVoutmaxItran/(Lch*10^-6)</f>
        <v>2.3094010767585029</v>
      </c>
      <c r="C44" t="s">
        <v>11</v>
      </c>
      <c r="K44">
        <v>17</v>
      </c>
      <c r="L44">
        <f t="shared" si="0"/>
        <v>1.5303029528278986</v>
      </c>
      <c r="M44">
        <f t="shared" si="1"/>
        <v>715.65480648775485</v>
      </c>
      <c r="N44">
        <f t="shared" si="2"/>
        <v>1.2699999999999999E-2</v>
      </c>
      <c r="O44">
        <f t="shared" si="3"/>
        <v>0.95796312679463247</v>
      </c>
      <c r="P44">
        <f t="shared" si="4"/>
        <v>8</v>
      </c>
      <c r="Q44">
        <f t="shared" si="5"/>
        <v>0.22310560564199755</v>
      </c>
      <c r="R44">
        <f t="shared" si="14"/>
        <v>0.52247475957497413</v>
      </c>
      <c r="S44">
        <f t="shared" si="15"/>
        <v>0.30048984954908425</v>
      </c>
      <c r="T44">
        <f t="shared" si="6"/>
        <v>2977.4858519581398</v>
      </c>
      <c r="U44">
        <f t="shared" si="7"/>
        <v>4.4662287779372098</v>
      </c>
      <c r="V44">
        <f t="shared" si="8"/>
        <v>3.6212067157145458</v>
      </c>
      <c r="W44">
        <f t="shared" si="9"/>
        <v>22</v>
      </c>
      <c r="X44" s="4">
        <f t="shared" si="10"/>
        <v>1.5143526776989257E-2</v>
      </c>
      <c r="Y44">
        <f t="shared" si="11"/>
        <v>0.54137738600870011</v>
      </c>
      <c r="Z44">
        <f t="shared" si="12"/>
        <v>4.68505886129822</v>
      </c>
      <c r="AA44">
        <f t="shared" si="13"/>
        <v>25</v>
      </c>
    </row>
    <row r="45" spans="1:27" x14ac:dyDescent="0.25">
      <c r="A45" t="s">
        <v>108</v>
      </c>
      <c r="B45">
        <f>VinMin*TonDCMVinminVoutminItran/(Lch*10^-6)</f>
        <v>1.1547005383792515</v>
      </c>
      <c r="C45" t="s">
        <v>11</v>
      </c>
      <c r="K45">
        <v>18</v>
      </c>
      <c r="L45">
        <f t="shared" si="0"/>
        <v>1.5303029528278986</v>
      </c>
      <c r="M45">
        <f t="shared" si="1"/>
        <v>757.75214804585812</v>
      </c>
      <c r="N45">
        <f t="shared" si="2"/>
        <v>1.2699999999999999E-2</v>
      </c>
      <c r="O45">
        <f t="shared" si="3"/>
        <v>1.0143138989590226</v>
      </c>
      <c r="P45">
        <f t="shared" si="4"/>
        <v>7</v>
      </c>
      <c r="Q45">
        <f t="shared" si="5"/>
        <v>0.26997653119703902</v>
      </c>
      <c r="R45">
        <f t="shared" si="14"/>
        <v>0.63223836452769966</v>
      </c>
      <c r="S45">
        <f t="shared" si="15"/>
        <v>0.28379596901857956</v>
      </c>
      <c r="T45">
        <f t="shared" si="6"/>
        <v>2607.2610787901417</v>
      </c>
      <c r="U45">
        <f t="shared" si="7"/>
        <v>3.9108916181852122</v>
      </c>
      <c r="V45">
        <f t="shared" si="8"/>
        <v>3.1709407861423977</v>
      </c>
      <c r="W45">
        <f t="shared" si="9"/>
        <v>20</v>
      </c>
      <c r="X45" s="4">
        <f t="shared" si="10"/>
        <v>1.7637754716728661E-2</v>
      </c>
      <c r="Y45">
        <f t="shared" si="11"/>
        <v>0.63054542605719177</v>
      </c>
      <c r="Z45">
        <f t="shared" si="12"/>
        <v>4.4337245767272888</v>
      </c>
      <c r="AA45">
        <f t="shared" si="13"/>
        <v>24</v>
      </c>
    </row>
    <row r="46" spans="1:27" x14ac:dyDescent="0.25">
      <c r="A46" t="s">
        <v>116</v>
      </c>
      <c r="B46">
        <v>1000</v>
      </c>
      <c r="C46" t="s">
        <v>40</v>
      </c>
      <c r="K46">
        <v>19</v>
      </c>
      <c r="L46">
        <f t="shared" si="0"/>
        <v>1.5303029528278986</v>
      </c>
      <c r="M46">
        <f t="shared" si="1"/>
        <v>799.84948960396127</v>
      </c>
      <c r="N46">
        <f t="shared" si="2"/>
        <v>1.2699999999999999E-2</v>
      </c>
      <c r="O46">
        <f t="shared" si="3"/>
        <v>1.0706646711234127</v>
      </c>
      <c r="P46">
        <f t="shared" si="4"/>
        <v>7</v>
      </c>
      <c r="Q46">
        <f t="shared" si="5"/>
        <v>0.28497522737465231</v>
      </c>
      <c r="R46">
        <f t="shared" si="14"/>
        <v>0.66736271811257197</v>
      </c>
      <c r="S46">
        <f t="shared" si="15"/>
        <v>0.26885933907023324</v>
      </c>
      <c r="T46">
        <f t="shared" si="6"/>
        <v>2299.5239430378706</v>
      </c>
      <c r="U46">
        <f t="shared" si="7"/>
        <v>3.449285914556806</v>
      </c>
      <c r="V46">
        <f t="shared" si="8"/>
        <v>2.7966720782229255</v>
      </c>
      <c r="W46">
        <f t="shared" si="9"/>
        <v>19</v>
      </c>
      <c r="X46" s="4">
        <f t="shared" si="10"/>
        <v>1.9597505240809623E-2</v>
      </c>
      <c r="Y46">
        <f t="shared" si="11"/>
        <v>0.7006060289524354</v>
      </c>
      <c r="Z46">
        <f t="shared" si="12"/>
        <v>4.1646408252879326</v>
      </c>
      <c r="AA46">
        <f t="shared" si="13"/>
        <v>22</v>
      </c>
    </row>
    <row r="47" spans="1:27" x14ac:dyDescent="0.25">
      <c r="A47" t="s">
        <v>112</v>
      </c>
      <c r="B47">
        <f>(VinMin+VoutMax)/(RlineandVoOPP*10^3)</f>
        <v>1.4727922061357856E-4</v>
      </c>
      <c r="K47">
        <v>20</v>
      </c>
      <c r="L47">
        <f t="shared" si="0"/>
        <v>1.5303029528278986</v>
      </c>
      <c r="M47">
        <f t="shared" si="1"/>
        <v>841.94683116206454</v>
      </c>
      <c r="N47">
        <f t="shared" si="2"/>
        <v>1.2699999999999999E-2</v>
      </c>
      <c r="O47">
        <f t="shared" si="3"/>
        <v>1.127015443287803</v>
      </c>
      <c r="P47">
        <f t="shared" si="4"/>
        <v>7</v>
      </c>
      <c r="Q47">
        <f t="shared" si="5"/>
        <v>0.2999739235522656</v>
      </c>
      <c r="R47">
        <f t="shared" si="14"/>
        <v>0.70248707169744418</v>
      </c>
      <c r="S47">
        <f t="shared" si="15"/>
        <v>0.25541637211672163</v>
      </c>
      <c r="T47">
        <f t="shared" si="6"/>
        <v>2041.2202634066718</v>
      </c>
      <c r="U47">
        <f t="shared" si="7"/>
        <v>3.0618303951100079</v>
      </c>
      <c r="V47">
        <f t="shared" si="8"/>
        <v>2.482524147424487</v>
      </c>
      <c r="W47">
        <f t="shared" si="9"/>
        <v>18</v>
      </c>
      <c r="X47" s="4">
        <f t="shared" si="10"/>
        <v>2.1775005823121807E-2</v>
      </c>
      <c r="Y47">
        <f t="shared" si="11"/>
        <v>0.77845114328048381</v>
      </c>
      <c r="Z47">
        <f t="shared" si="12"/>
        <v>3.963462362402415</v>
      </c>
      <c r="AA47">
        <f t="shared" si="13"/>
        <v>21</v>
      </c>
    </row>
    <row r="48" spans="1:27" x14ac:dyDescent="0.25">
      <c r="A48" t="s">
        <v>113</v>
      </c>
      <c r="B48">
        <f>(VinMin+VoutMin)/(RlineandVoOPP*10^3)</f>
        <v>1.3227922061357855E-4</v>
      </c>
      <c r="K48">
        <v>21</v>
      </c>
      <c r="L48">
        <f t="shared" si="0"/>
        <v>1.5303029528278986</v>
      </c>
      <c r="M48">
        <f t="shared" si="1"/>
        <v>884.04417272016792</v>
      </c>
      <c r="N48">
        <f t="shared" si="2"/>
        <v>1.2699999999999999E-2</v>
      </c>
      <c r="O48">
        <f t="shared" si="3"/>
        <v>1.1833662154521933</v>
      </c>
      <c r="P48">
        <f t="shared" si="4"/>
        <v>6</v>
      </c>
      <c r="Q48">
        <f t="shared" si="5"/>
        <v>0.36746805635152546</v>
      </c>
      <c r="R48">
        <f t="shared" si="14"/>
        <v>0.86054666282936931</v>
      </c>
      <c r="S48">
        <f t="shared" si="15"/>
        <v>0.24325368773021105</v>
      </c>
      <c r="T48">
        <f t="shared" si="6"/>
        <v>1822.4982888466104</v>
      </c>
      <c r="U48">
        <f t="shared" si="7"/>
        <v>2.7337474332699156</v>
      </c>
      <c r="V48">
        <f t="shared" si="8"/>
        <v>2.2165153324269755</v>
      </c>
      <c r="W48">
        <f t="shared" si="9"/>
        <v>18</v>
      </c>
      <c r="X48" s="4">
        <f t="shared" si="10"/>
        <v>2.2863756114277902E-2</v>
      </c>
      <c r="Y48">
        <f t="shared" si="11"/>
        <v>0.81737370044450819</v>
      </c>
      <c r="Z48">
        <f t="shared" si="12"/>
        <v>3.894435695700853</v>
      </c>
      <c r="AA48">
        <f t="shared" si="13"/>
        <v>20</v>
      </c>
    </row>
    <row r="49" spans="1:27" x14ac:dyDescent="0.25">
      <c r="A49" t="s">
        <v>117</v>
      </c>
      <c r="B49">
        <f>OPPExtVinminVoutmax*RoppCh</f>
        <v>6.0679038892794371E-2</v>
      </c>
      <c r="C49" t="s">
        <v>21</v>
      </c>
      <c r="K49">
        <v>22</v>
      </c>
      <c r="L49">
        <f t="shared" si="0"/>
        <v>1.5303029528278986</v>
      </c>
      <c r="M49">
        <f t="shared" si="1"/>
        <v>926.14151427827107</v>
      </c>
      <c r="N49">
        <f t="shared" si="2"/>
        <v>1.2699999999999999E-2</v>
      </c>
      <c r="O49">
        <f t="shared" si="3"/>
        <v>1.2397169876165834</v>
      </c>
      <c r="P49">
        <f t="shared" si="4"/>
        <v>6</v>
      </c>
      <c r="Q49">
        <f t="shared" si="5"/>
        <v>0.38496653522540758</v>
      </c>
      <c r="R49">
        <f t="shared" si="14"/>
        <v>0.90152507534505344</v>
      </c>
      <c r="S49">
        <f t="shared" si="15"/>
        <v>0.23219670192429234</v>
      </c>
      <c r="T49">
        <f t="shared" si="6"/>
        <v>1635.8167970649072</v>
      </c>
      <c r="U49">
        <f t="shared" si="7"/>
        <v>2.4537251955973609</v>
      </c>
      <c r="V49">
        <f t="shared" si="8"/>
        <v>1.9894740280006475</v>
      </c>
      <c r="W49">
        <f t="shared" si="9"/>
        <v>17</v>
      </c>
      <c r="X49" s="4">
        <f t="shared" si="10"/>
        <v>2.5361477370459518E-2</v>
      </c>
      <c r="Y49">
        <f t="shared" si="11"/>
        <v>0.90666662570315182</v>
      </c>
      <c r="Z49">
        <f t="shared" si="12"/>
        <v>3.7976657290488527</v>
      </c>
      <c r="AA49">
        <f t="shared" si="13"/>
        <v>19</v>
      </c>
    </row>
    <row r="50" spans="1:27" x14ac:dyDescent="0.25">
      <c r="A50" t="s">
        <v>118</v>
      </c>
      <c r="B50">
        <f>OPPExtVinminVoutmin*RoppCh</f>
        <v>5.4499038892794366E-2</v>
      </c>
      <c r="C50" t="s">
        <v>21</v>
      </c>
      <c r="K50">
        <v>23</v>
      </c>
      <c r="L50">
        <f t="shared" si="0"/>
        <v>1.5303029528278986</v>
      </c>
      <c r="M50">
        <f t="shared" si="1"/>
        <v>968.23885583637423</v>
      </c>
      <c r="N50">
        <f t="shared" si="2"/>
        <v>1.2699999999999999E-2</v>
      </c>
      <c r="O50">
        <f t="shared" si="3"/>
        <v>1.2960677597809735</v>
      </c>
      <c r="P50">
        <f t="shared" si="4"/>
        <v>6</v>
      </c>
      <c r="Q50">
        <f t="shared" si="5"/>
        <v>0.40246501409928975</v>
      </c>
      <c r="R50">
        <f t="shared" si="14"/>
        <v>0.94250348786073779</v>
      </c>
      <c r="S50">
        <f t="shared" si="15"/>
        <v>0.22210119314497531</v>
      </c>
      <c r="T50">
        <f t="shared" si="6"/>
        <v>1475.3286893794955</v>
      </c>
      <c r="U50">
        <f t="shared" si="7"/>
        <v>2.2129930340692434</v>
      </c>
      <c r="V50">
        <f t="shared" si="8"/>
        <v>1.7942890154638012</v>
      </c>
      <c r="W50">
        <f t="shared" si="9"/>
        <v>16</v>
      </c>
      <c r="X50" s="4">
        <f t="shared" si="10"/>
        <v>2.8171413783663841E-2</v>
      </c>
      <c r="Y50">
        <f t="shared" si="11"/>
        <v>1.007121166619126</v>
      </c>
      <c r="Z50">
        <f t="shared" si="12"/>
        <v>3.743913669943665</v>
      </c>
      <c r="AA50">
        <f t="shared" si="13"/>
        <v>18</v>
      </c>
    </row>
    <row r="51" spans="1:27" x14ac:dyDescent="0.25">
      <c r="A51" t="s">
        <v>114</v>
      </c>
      <c r="B51">
        <f>OppCVinmin*10^-6*RoppCh+VRoppEXTVinminVoutmax*FBGain</f>
        <v>0.25643575557117748</v>
      </c>
      <c r="C51" t="s">
        <v>21</v>
      </c>
      <c r="K51">
        <v>24</v>
      </c>
      <c r="L51">
        <f t="shared" si="0"/>
        <v>1.5303029528278986</v>
      </c>
      <c r="M51">
        <f t="shared" si="1"/>
        <v>1010.3361973944775</v>
      </c>
      <c r="N51">
        <f t="shared" si="2"/>
        <v>1.2699999999999999E-2</v>
      </c>
      <c r="O51">
        <f t="shared" si="3"/>
        <v>1.3524185319453634</v>
      </c>
      <c r="P51">
        <f t="shared" si="4"/>
        <v>5</v>
      </c>
      <c r="Q51">
        <f t="shared" si="5"/>
        <v>0.50395619156780624</v>
      </c>
      <c r="R51">
        <f t="shared" si="14"/>
        <v>1.1801782804517063</v>
      </c>
      <c r="S51">
        <f t="shared" si="15"/>
        <v>0.21284697676393469</v>
      </c>
      <c r="T51">
        <f t="shared" si="6"/>
        <v>1336.4472952691704</v>
      </c>
      <c r="U51">
        <f t="shared" si="7"/>
        <v>2.0046709429037555</v>
      </c>
      <c r="V51">
        <f t="shared" si="8"/>
        <v>1.6253820039630196</v>
      </c>
      <c r="W51">
        <f t="shared" si="9"/>
        <v>15</v>
      </c>
      <c r="X51" s="4">
        <f t="shared" si="10"/>
        <v>3.1356008385295397E-2</v>
      </c>
      <c r="Y51">
        <f t="shared" si="11"/>
        <v>1.1209696463238965</v>
      </c>
      <c r="Z51">
        <f t="shared" si="12"/>
        <v>3.9265299307386226</v>
      </c>
      <c r="AA51">
        <f t="shared" si="13"/>
        <v>18</v>
      </c>
    </row>
    <row r="52" spans="1:27" x14ac:dyDescent="0.25">
      <c r="A52" t="s">
        <v>115</v>
      </c>
      <c r="B52">
        <f>OppCVinmin*10^-6*RoppCh+VRoppEXTVinminVoutmin*FBGain</f>
        <v>0.23171575557117746</v>
      </c>
      <c r="C52" t="s">
        <v>21</v>
      </c>
      <c r="K52">
        <v>25</v>
      </c>
      <c r="L52">
        <f t="shared" si="0"/>
        <v>1.5303029528278986</v>
      </c>
      <c r="M52">
        <f t="shared" si="1"/>
        <v>1052.4335389525806</v>
      </c>
      <c r="N52">
        <f t="shared" si="2"/>
        <v>1.2699999999999999E-2</v>
      </c>
      <c r="O52">
        <f t="shared" si="3"/>
        <v>1.4087693041097538</v>
      </c>
      <c r="P52">
        <f t="shared" si="4"/>
        <v>5</v>
      </c>
      <c r="Q52">
        <f t="shared" si="5"/>
        <v>0.52495436621646485</v>
      </c>
      <c r="R52">
        <f t="shared" si="14"/>
        <v>1.2293523754705273</v>
      </c>
      <c r="S52">
        <f t="shared" si="15"/>
        <v>0.20433309769337726</v>
      </c>
      <c r="T52">
        <f t="shared" si="6"/>
        <v>1215.5362381011776</v>
      </c>
      <c r="U52">
        <f t="shared" si="7"/>
        <v>1.8233043571517662</v>
      </c>
      <c r="V52">
        <f t="shared" si="8"/>
        <v>1.4783304463769662</v>
      </c>
      <c r="W52">
        <f t="shared" si="9"/>
        <v>15</v>
      </c>
      <c r="X52" s="4">
        <f t="shared" si="10"/>
        <v>3.266250873468271E-2</v>
      </c>
      <c r="Y52">
        <f t="shared" si="11"/>
        <v>1.1676767149207257</v>
      </c>
      <c r="Z52">
        <f t="shared" si="12"/>
        <v>3.8753595367682188</v>
      </c>
      <c r="AA52">
        <f t="shared" si="13"/>
        <v>17</v>
      </c>
    </row>
    <row r="53" spans="1:27" x14ac:dyDescent="0.25">
      <c r="A53" t="s">
        <v>109</v>
      </c>
      <c r="B53">
        <f>IPKDCMVinminVoutmaxItran*RSCh*10^-3*FBGain-VcompRoppVinminVoutmax+(VinMin*CompDel*10^-9)/(Lch*10^-6)*RSCh*10^-3*FBGain</f>
        <v>2.1006950289174173</v>
      </c>
      <c r="C53" t="s">
        <v>21</v>
      </c>
      <c r="K53">
        <v>26</v>
      </c>
      <c r="L53">
        <f t="shared" si="0"/>
        <v>1.5303029528278986</v>
      </c>
      <c r="M53">
        <f t="shared" si="1"/>
        <v>1094.530880510684</v>
      </c>
      <c r="N53">
        <f t="shared" si="2"/>
        <v>1.2699999999999999E-2</v>
      </c>
      <c r="O53">
        <f t="shared" si="3"/>
        <v>1.4651200762741441</v>
      </c>
      <c r="P53">
        <f t="shared" si="4"/>
        <v>5</v>
      </c>
      <c r="Q53">
        <f t="shared" si="5"/>
        <v>0.54595254086512357</v>
      </c>
      <c r="R53">
        <f t="shared" si="14"/>
        <v>1.2785264704893489</v>
      </c>
      <c r="S53">
        <f t="shared" si="15"/>
        <v>0.19647413239747816</v>
      </c>
      <c r="T53">
        <f t="shared" si="6"/>
        <v>1109.6843560912132</v>
      </c>
      <c r="U53">
        <f t="shared" si="7"/>
        <v>1.6645265341368198</v>
      </c>
      <c r="V53">
        <f t="shared" si="8"/>
        <v>1.3495937990631186</v>
      </c>
      <c r="W53">
        <f t="shared" si="9"/>
        <v>14</v>
      </c>
      <c r="X53" s="4">
        <f t="shared" si="10"/>
        <v>3.6395366875789315E-2</v>
      </c>
      <c r="Y53">
        <f t="shared" si="11"/>
        <v>1.3011254823402376</v>
      </c>
      <c r="Z53">
        <f t="shared" si="12"/>
        <v>3.9292457518927053</v>
      </c>
      <c r="AA53">
        <f t="shared" si="13"/>
        <v>16</v>
      </c>
    </row>
    <row r="54" spans="1:27" x14ac:dyDescent="0.25">
      <c r="A54" t="s">
        <v>110</v>
      </c>
      <c r="B54">
        <f>IPKDCMVinminVoutminItran*RSCh*10^-3*FBGain-VcompRoppVinminVoutmin+(VinMin*CompDel*10^-9)/(Lch*10^-6)*RSCh*10^-3*FBGain</f>
        <v>0.97071449053816594</v>
      </c>
      <c r="C54" t="s">
        <v>21</v>
      </c>
      <c r="K54">
        <v>27</v>
      </c>
      <c r="L54">
        <f t="shared" si="0"/>
        <v>1.5303029528278986</v>
      </c>
      <c r="M54">
        <f t="shared" si="1"/>
        <v>1136.6282220687872</v>
      </c>
      <c r="N54">
        <f t="shared" si="2"/>
        <v>1.2699999999999999E-2</v>
      </c>
      <c r="O54">
        <f t="shared" si="3"/>
        <v>1.5214708484385342</v>
      </c>
      <c r="P54">
        <f t="shared" si="4"/>
        <v>5</v>
      </c>
      <c r="Q54">
        <f t="shared" si="5"/>
        <v>0.56695071551378207</v>
      </c>
      <c r="R54">
        <f t="shared" si="14"/>
        <v>1.3277005655081697</v>
      </c>
      <c r="S54">
        <f t="shared" si="15"/>
        <v>0.18919731267905304</v>
      </c>
      <c r="T54">
        <f t="shared" si="6"/>
        <v>1016.5401271426784</v>
      </c>
      <c r="U54">
        <f t="shared" si="7"/>
        <v>1.5248101907140177</v>
      </c>
      <c r="V54">
        <f t="shared" si="8"/>
        <v>1.2363121499910783</v>
      </c>
      <c r="W54">
        <f t="shared" si="9"/>
        <v>14</v>
      </c>
      <c r="X54" s="4">
        <f t="shared" si="10"/>
        <v>3.7795188678704288E-2</v>
      </c>
      <c r="Y54">
        <f t="shared" si="11"/>
        <v>1.3511687701225543</v>
      </c>
      <c r="Z54">
        <f t="shared" si="12"/>
        <v>3.9151814856218028</v>
      </c>
      <c r="AA54">
        <f t="shared" si="13"/>
        <v>16</v>
      </c>
    </row>
    <row r="55" spans="1:27" x14ac:dyDescent="0.25">
      <c r="A55" t="s">
        <v>99</v>
      </c>
      <c r="B55">
        <f>IF(VFBVinminVoutmaxItran&lt;1.04,0.08,IF(VFBVinminVoutmaxItran&lt;1.2,0.18,IF(VFBVinminVoutmaxItran&lt;1.36,0.22,IF(VFBVinminVoutmaxItran&lt;1.52,0.27,IF(VFBVinminVoutmaxItran&lt;1.68,0.33,IF(VFBVinminVoutmaxItran&lt;1.84,0.39,IF(VFBVinminVoutmaxItran&lt;2,0.46,IF(VFBVinminVoutmaxItran&lt;2.16,0.54,IF(VFBVinminVoutmaxItran&lt;2.32,0.63,IF(VFBVinminVoutmaxItran&lt;2.48,0.74,IF(VFBVinminVoutmaxItran&lt;2.64,0.87,IF(VFBVinminVoutmaxItran&lt;2.8,1.02,IF(VFBVinminVoutmaxItran&lt;2.96,1.19,IF(VFBVinminVoutmaxItran&lt;3.12,1.39,IF(VFBVinminVoutmaxItran&lt;3.28,1.63,IF(VFBVinminVoutmaxItran&lt;3.44,1.91,1.91))))))))))))))))</f>
        <v>0.54</v>
      </c>
      <c r="C55" t="s">
        <v>21</v>
      </c>
      <c r="K55">
        <v>28</v>
      </c>
      <c r="L55">
        <f t="shared" si="0"/>
        <v>1.5303029528278986</v>
      </c>
      <c r="M55">
        <f t="shared" si="1"/>
        <v>1178.7255636268903</v>
      </c>
      <c r="N55">
        <f t="shared" si="2"/>
        <v>1.2699999999999999E-2</v>
      </c>
      <c r="O55">
        <f t="shared" si="3"/>
        <v>1.5778216206029241</v>
      </c>
      <c r="P55">
        <f t="shared" si="4"/>
        <v>5</v>
      </c>
      <c r="Q55">
        <f t="shared" si="5"/>
        <v>0.58794889016244056</v>
      </c>
      <c r="R55">
        <f t="shared" si="14"/>
        <v>1.3768746605269906</v>
      </c>
      <c r="S55">
        <f t="shared" si="15"/>
        <v>0.18244026579765829</v>
      </c>
      <c r="T55">
        <f t="shared" si="6"/>
        <v>934.18834368976127</v>
      </c>
      <c r="U55">
        <f t="shared" si="7"/>
        <v>1.4012825155346418</v>
      </c>
      <c r="V55">
        <f t="shared" si="8"/>
        <v>1.1361562311662567</v>
      </c>
      <c r="W55">
        <f t="shared" si="9"/>
        <v>13</v>
      </c>
      <c r="X55" s="4">
        <f t="shared" si="10"/>
        <v>4.2210011287897656E-2</v>
      </c>
      <c r="Y55">
        <f t="shared" si="11"/>
        <v>1.5089976008206301</v>
      </c>
      <c r="Z55">
        <f t="shared" si="12"/>
        <v>4.0220284925138774</v>
      </c>
      <c r="AA55">
        <f t="shared" si="13"/>
        <v>15</v>
      </c>
    </row>
    <row r="56" spans="1:27" x14ac:dyDescent="0.25">
      <c r="A56" t="s">
        <v>98</v>
      </c>
      <c r="B56">
        <f>IF(VFBVinminVoutminItran&lt;1.04,0.08,IF(VFBVinminVoutminItran&lt;1.2,0.18,IF(VFBVinminVoutminItran&lt;1.36,0.22,IF(VFBVinminVoutminItran&lt;1.52,0.27,IF(VFBVinminVoutminItran&lt;1.68,0.33,IF(VFBVinminVoutminItran&lt;1.84,0.39,IF(VFBVinminVoutminItran&lt;2,0.46,IF(VFBVinminVoutminItran&lt;2.16,0.54,IF(VFBVinminVoutminItran&lt;2.32,0.63,IF(VFBVinminVoutminItran&lt;2.48,0.74,IF(VFBVinminVoutminItran&lt;2.64,0.87,IF(VFBVinminVoutminItran&lt;2.8,1.02,IF(VFBVinminVoutminItran&lt;2.96,1.19,IF(VFBVinminVoutminItran&lt;3.12,1.39,IF(VFBVinminVoutminItran&lt;3.28,1.63,IF(VFBVinminVoutminItran&lt;3.44,1.91,1.91))))))))))))))))</f>
        <v>0.08</v>
      </c>
      <c r="C56" t="s">
        <v>21</v>
      </c>
      <c r="K56">
        <v>29</v>
      </c>
      <c r="L56">
        <f t="shared" si="0"/>
        <v>1.5303029528278986</v>
      </c>
      <c r="M56">
        <f t="shared" si="1"/>
        <v>1220.8229051849937</v>
      </c>
      <c r="N56">
        <f t="shared" si="2"/>
        <v>1.2699999999999999E-2</v>
      </c>
      <c r="O56">
        <f t="shared" si="3"/>
        <v>1.6341723927673146</v>
      </c>
      <c r="P56">
        <f t="shared" si="4"/>
        <v>5</v>
      </c>
      <c r="Q56">
        <f t="shared" si="5"/>
        <v>0.60894706481109939</v>
      </c>
      <c r="R56">
        <f t="shared" si="14"/>
        <v>1.4260487555458121</v>
      </c>
      <c r="S56">
        <f t="shared" si="15"/>
        <v>0.17614922214946316</v>
      </c>
      <c r="T56">
        <f t="shared" si="6"/>
        <v>861.05719840802897</v>
      </c>
      <c r="U56">
        <f t="shared" si="7"/>
        <v>1.2915857976120435</v>
      </c>
      <c r="V56">
        <f t="shared" si="8"/>
        <v>1.0472144166323794</v>
      </c>
      <c r="W56">
        <f t="shared" si="9"/>
        <v>13</v>
      </c>
      <c r="X56" s="4">
        <f t="shared" si="10"/>
        <v>4.3717511691036867E-2</v>
      </c>
      <c r="Y56">
        <f t="shared" si="11"/>
        <v>1.5628903722785101</v>
      </c>
      <c r="Z56">
        <f t="shared" si="12"/>
        <v>4.0361535444567016</v>
      </c>
      <c r="AA56">
        <f t="shared" si="13"/>
        <v>15</v>
      </c>
    </row>
    <row r="57" spans="1:27" x14ac:dyDescent="0.25">
      <c r="A57" t="s">
        <v>100</v>
      </c>
      <c r="B57">
        <f>VoutMax*Nauxsec</f>
        <v>15</v>
      </c>
      <c r="C57" t="s">
        <v>21</v>
      </c>
      <c r="K57">
        <v>30</v>
      </c>
      <c r="L57">
        <f t="shared" si="0"/>
        <v>1.5303029528278986</v>
      </c>
      <c r="M57">
        <f t="shared" si="1"/>
        <v>1262.9202467430969</v>
      </c>
      <c r="N57">
        <f t="shared" si="2"/>
        <v>1.2699999999999999E-2</v>
      </c>
      <c r="O57">
        <f t="shared" si="3"/>
        <v>1.6905231649317045</v>
      </c>
      <c r="P57">
        <f t="shared" si="4"/>
        <v>4</v>
      </c>
      <c r="Q57">
        <f t="shared" si="5"/>
        <v>0.78743154932469728</v>
      </c>
      <c r="R57">
        <f t="shared" si="14"/>
        <v>1.8440285632057911</v>
      </c>
      <c r="S57">
        <f t="shared" si="15"/>
        <v>0.17027758141114774</v>
      </c>
      <c r="T57">
        <f t="shared" si="6"/>
        <v>795.84753631672766</v>
      </c>
      <c r="U57">
        <f t="shared" si="7"/>
        <v>1.1937713044750913</v>
      </c>
      <c r="V57">
        <f t="shared" si="8"/>
        <v>0.96790667915339135</v>
      </c>
      <c r="W57">
        <f t="shared" si="9"/>
        <v>12</v>
      </c>
      <c r="X57" s="4">
        <f t="shared" si="10"/>
        <v>4.8993763102024065E-2</v>
      </c>
      <c r="Y57">
        <f t="shared" si="11"/>
        <v>1.7515150723810886</v>
      </c>
      <c r="Z57">
        <f t="shared" si="12"/>
        <v>4.5634503147402707</v>
      </c>
      <c r="AA57">
        <f t="shared" si="13"/>
        <v>14</v>
      </c>
    </row>
    <row r="58" spans="1:27" x14ac:dyDescent="0.25">
      <c r="A58" t="s">
        <v>121</v>
      </c>
      <c r="B58">
        <f>VoutMin*Nauxsec</f>
        <v>3.75</v>
      </c>
      <c r="C58" t="s">
        <v>21</v>
      </c>
      <c r="K58">
        <v>31</v>
      </c>
      <c r="L58">
        <f t="shared" si="0"/>
        <v>1.5303029528278986</v>
      </c>
      <c r="M58">
        <f t="shared" si="1"/>
        <v>1305.0175883012002</v>
      </c>
      <c r="N58">
        <f t="shared" si="2"/>
        <v>1.2699999999999999E-2</v>
      </c>
      <c r="O58">
        <f t="shared" si="3"/>
        <v>1.7468739370960951</v>
      </c>
      <c r="P58">
        <f t="shared" si="4"/>
        <v>4</v>
      </c>
      <c r="Q58">
        <f t="shared" si="5"/>
        <v>0.81367926763552068</v>
      </c>
      <c r="R58">
        <f t="shared" si="14"/>
        <v>1.9054961819793179</v>
      </c>
      <c r="S58">
        <f t="shared" si="15"/>
        <v>0.16478475620433652</v>
      </c>
      <c r="T58">
        <f t="shared" si="6"/>
        <v>737.47845320239242</v>
      </c>
      <c r="U58">
        <f t="shared" si="7"/>
        <v>1.1062176798035885</v>
      </c>
      <c r="V58">
        <f t="shared" si="8"/>
        <v>0.8969184272277857</v>
      </c>
      <c r="W58">
        <f t="shared" si="9"/>
        <v>12</v>
      </c>
      <c r="X58" s="4">
        <f t="shared" si="10"/>
        <v>5.062688853875822E-2</v>
      </c>
      <c r="Y58">
        <f t="shared" si="11"/>
        <v>1.8098989081271255</v>
      </c>
      <c r="Z58">
        <f t="shared" si="12"/>
        <v>4.6123135173342291</v>
      </c>
      <c r="AA58">
        <f t="shared" si="13"/>
        <v>14</v>
      </c>
    </row>
    <row r="59" spans="1:27" x14ac:dyDescent="0.25">
      <c r="A59" t="s">
        <v>119</v>
      </c>
      <c r="B59">
        <f>IF(VoutMax=VoutMin,"DNI",IF(ABS(1-VoutMin/VoutMax)&lt;0.05,"DNI",(Vz*RATHVinminVoutmin+RATHVinminVoutmax*RATHVinminVoutmin-RATHVinminVoutmin*VREFRangeVoutmax)/(IATH*10^-6*RATHVinminVoutmin-RATHVinminVoutmax*IATH*10^-6)/1000))</f>
        <v>154.08695652173913</v>
      </c>
      <c r="C59" t="s">
        <v>40</v>
      </c>
      <c r="K59">
        <v>32</v>
      </c>
      <c r="L59">
        <f t="shared" si="0"/>
        <v>1.5303029528278986</v>
      </c>
      <c r="M59">
        <f t="shared" si="1"/>
        <v>1347.1149298593034</v>
      </c>
      <c r="N59">
        <f t="shared" si="2"/>
        <v>1.2699999999999999E-2</v>
      </c>
      <c r="O59">
        <f t="shared" si="3"/>
        <v>1.8032247092604849</v>
      </c>
      <c r="P59">
        <f t="shared" si="4"/>
        <v>4</v>
      </c>
      <c r="Q59">
        <f t="shared" si="5"/>
        <v>0.83992698594634385</v>
      </c>
      <c r="R59">
        <f t="shared" si="14"/>
        <v>1.966963800752844</v>
      </c>
      <c r="S59">
        <f t="shared" si="15"/>
        <v>0.15963523257295101</v>
      </c>
      <c r="T59">
        <f t="shared" si="6"/>
        <v>685.04507951351331</v>
      </c>
      <c r="U59">
        <f t="shared" si="7"/>
        <v>1.0275676192702698</v>
      </c>
      <c r="V59">
        <f t="shared" si="8"/>
        <v>0.83314916202544387</v>
      </c>
      <c r="W59">
        <f t="shared" si="9"/>
        <v>12</v>
      </c>
      <c r="X59" s="4">
        <f t="shared" si="10"/>
        <v>5.2260013975492348E-2</v>
      </c>
      <c r="Y59">
        <f t="shared" si="11"/>
        <v>1.8682827438731615</v>
      </c>
      <c r="Z59">
        <f t="shared" si="12"/>
        <v>4.6683957066514488</v>
      </c>
      <c r="AA59">
        <f t="shared" si="13"/>
        <v>13</v>
      </c>
    </row>
    <row r="60" spans="1:27" x14ac:dyDescent="0.25">
      <c r="A60" t="s">
        <v>120</v>
      </c>
      <c r="B60">
        <f>IF(OR(VoutMax=VoutMin,RZ2Ch=0,RZ2Ch="DNI",ABS(1-VoutMax/VoutMin)&lt;0.05),"DNI",RZ2Ch*10^3*RATHVinminVoutmax/(VREFRangeVoutmax-Vz-RATHVinminVoutmax+IATH*10^-6*RZ2Ch*10^3)/10^3)</f>
        <v>7.9961538461538479</v>
      </c>
      <c r="C60" t="s">
        <v>40</v>
      </c>
      <c r="K60">
        <v>33</v>
      </c>
      <c r="L60">
        <f t="shared" si="0"/>
        <v>1.5303029528278986</v>
      </c>
      <c r="M60">
        <f t="shared" si="1"/>
        <v>1389.2122714174066</v>
      </c>
      <c r="N60">
        <f t="shared" si="2"/>
        <v>1.2699999999999999E-2</v>
      </c>
      <c r="O60">
        <f t="shared" si="3"/>
        <v>1.8595754814248751</v>
      </c>
      <c r="P60">
        <f t="shared" si="4"/>
        <v>4</v>
      </c>
      <c r="Q60">
        <f t="shared" si="5"/>
        <v>0.86617470425716703</v>
      </c>
      <c r="R60">
        <f t="shared" si="14"/>
        <v>2.0284314195263704</v>
      </c>
      <c r="S60">
        <f t="shared" si="15"/>
        <v>0.15479780128286158</v>
      </c>
      <c r="T60">
        <f t="shared" si="6"/>
        <v>637.78553992840659</v>
      </c>
      <c r="U60">
        <f t="shared" si="7"/>
        <v>0.95667830989260982</v>
      </c>
      <c r="V60">
        <f t="shared" si="8"/>
        <v>0.77567229374255409</v>
      </c>
      <c r="W60">
        <f t="shared" si="9"/>
        <v>11</v>
      </c>
      <c r="X60" s="4">
        <f t="shared" si="10"/>
        <v>5.8792515722428884E-2</v>
      </c>
      <c r="Y60">
        <f t="shared" si="11"/>
        <v>2.1018180868573064</v>
      </c>
      <c r="Z60">
        <f t="shared" si="12"/>
        <v>4.9059218001262312</v>
      </c>
      <c r="AA60">
        <f t="shared" si="13"/>
        <v>13</v>
      </c>
    </row>
    <row r="61" spans="1:27" x14ac:dyDescent="0.25">
      <c r="A61" t="s">
        <v>122</v>
      </c>
      <c r="B61">
        <f>IF(VoutMax=VoutMin,"DNI",IF(ABS(1-VoutMax/VoutMin)&lt;0.05,"DNI",(VREFRangeVoutmin*RATHVinminVoutmax-VREFRangeVoutmax*RATHVinminVoutmin)/(IATH*10^-6*RATHVinminVoutmin-IATH*10^-6*RATHVinminVoutmax)/1000))</f>
        <v>-179.34782608695659</v>
      </c>
      <c r="C61" t="s">
        <v>40</v>
      </c>
      <c r="K61">
        <v>34</v>
      </c>
      <c r="L61">
        <f t="shared" si="0"/>
        <v>1.5303029528278986</v>
      </c>
      <c r="M61">
        <f t="shared" si="1"/>
        <v>1431.3096129755097</v>
      </c>
      <c r="N61">
        <f t="shared" si="2"/>
        <v>1.2699999999999999E-2</v>
      </c>
      <c r="O61">
        <f t="shared" si="3"/>
        <v>1.9159262535892649</v>
      </c>
      <c r="P61">
        <f t="shared" si="4"/>
        <v>4</v>
      </c>
      <c r="Q61">
        <f t="shared" si="5"/>
        <v>0.8924224225679902</v>
      </c>
      <c r="R61">
        <f t="shared" si="14"/>
        <v>2.0898990382998965</v>
      </c>
      <c r="S61">
        <f t="shared" si="15"/>
        <v>0.15024492477454213</v>
      </c>
      <c r="T61">
        <f t="shared" si="6"/>
        <v>595.05488746183391</v>
      </c>
      <c r="U61">
        <f t="shared" si="7"/>
        <v>0.89258233119275077</v>
      </c>
      <c r="V61">
        <f t="shared" si="8"/>
        <v>0.72370344036343393</v>
      </c>
      <c r="W61">
        <f t="shared" si="9"/>
        <v>11</v>
      </c>
      <c r="X61" s="4">
        <f t="shared" si="10"/>
        <v>6.0574107107957027E-2</v>
      </c>
      <c r="Y61">
        <f t="shared" si="11"/>
        <v>2.1655095440348004</v>
      </c>
      <c r="Z61">
        <f t="shared" si="12"/>
        <v>4.9791120226981311</v>
      </c>
      <c r="AA61">
        <f t="shared" si="13"/>
        <v>12</v>
      </c>
    </row>
    <row r="62" spans="1:27" x14ac:dyDescent="0.25">
      <c r="A62" t="s">
        <v>123</v>
      </c>
      <c r="B62">
        <f>IF(OR(RNoZ2Ch="DNI",RNoZ2Ch=0),RATHVinminVoutmin/(IATH*10^-3),IF(VinMax=VinMin,RATHVinminVoutmax/(IATH*10^-3),RNoZ2Ch*10^3*RATHVinminVoutmin/(VREFRangeVoutmin-RATHVinminVoutmin+RNoZ2Ch*IATH*10^3*10^-6)/10^3))</f>
        <v>1.7796610169491525</v>
      </c>
      <c r="C62" t="s">
        <v>40</v>
      </c>
      <c r="K62">
        <v>35</v>
      </c>
      <c r="L62">
        <f t="shared" si="0"/>
        <v>1.5303029528278986</v>
      </c>
      <c r="M62">
        <f t="shared" si="1"/>
        <v>1473.4069545336129</v>
      </c>
      <c r="N62">
        <f t="shared" si="2"/>
        <v>1.2699999999999999E-2</v>
      </c>
      <c r="O62">
        <f t="shared" si="3"/>
        <v>1.972277025753655</v>
      </c>
      <c r="P62">
        <f t="shared" si="4"/>
        <v>4</v>
      </c>
      <c r="Q62">
        <f t="shared" si="5"/>
        <v>0.91867014087881338</v>
      </c>
      <c r="R62">
        <f t="shared" si="14"/>
        <v>2.1513666570734227</v>
      </c>
      <c r="S62">
        <f t="shared" si="15"/>
        <v>0.14595221263812663</v>
      </c>
      <c r="T62">
        <f t="shared" si="6"/>
        <v>556.30438582432885</v>
      </c>
      <c r="U62">
        <f t="shared" si="7"/>
        <v>0.83445657873649326</v>
      </c>
      <c r="V62">
        <f t="shared" si="8"/>
        <v>0.67657523094650018</v>
      </c>
      <c r="W62">
        <f t="shared" si="9"/>
        <v>11</v>
      </c>
      <c r="X62" s="4">
        <f t="shared" si="10"/>
        <v>6.235569849348517E-2</v>
      </c>
      <c r="Y62">
        <f t="shared" si="11"/>
        <v>2.2292010012122945</v>
      </c>
      <c r="Z62">
        <f t="shared" si="12"/>
        <v>5.0571428892322174</v>
      </c>
      <c r="AA62">
        <f t="shared" si="13"/>
        <v>12</v>
      </c>
    </row>
    <row r="63" spans="1:27" x14ac:dyDescent="0.25">
      <c r="A63" t="s">
        <v>127</v>
      </c>
      <c r="B63">
        <v>16</v>
      </c>
      <c r="C63" t="s">
        <v>87</v>
      </c>
      <c r="K63">
        <v>36</v>
      </c>
      <c r="L63">
        <f t="shared" si="0"/>
        <v>1.5303029528278986</v>
      </c>
      <c r="M63">
        <f t="shared" si="1"/>
        <v>1515.5042960917162</v>
      </c>
      <c r="N63">
        <f t="shared" si="2"/>
        <v>1.2699999999999999E-2</v>
      </c>
      <c r="O63">
        <f t="shared" si="3"/>
        <v>2.0286277979180452</v>
      </c>
      <c r="P63">
        <f t="shared" si="4"/>
        <v>4</v>
      </c>
      <c r="Q63">
        <f t="shared" si="5"/>
        <v>0.94491785918963667</v>
      </c>
      <c r="R63">
        <f t="shared" si="14"/>
        <v>2.2128342758469493</v>
      </c>
      <c r="S63">
        <f t="shared" si="15"/>
        <v>0.14189798450928978</v>
      </c>
      <c r="T63">
        <f t="shared" si="6"/>
        <v>521.06492690897915</v>
      </c>
      <c r="U63">
        <f t="shared" si="7"/>
        <v>0.78159739036346865</v>
      </c>
      <c r="V63">
        <f t="shared" si="8"/>
        <v>0.63371713803617136</v>
      </c>
      <c r="W63">
        <f t="shared" si="9"/>
        <v>10</v>
      </c>
      <c r="X63" s="4">
        <f t="shared" si="10"/>
        <v>7.0551018866914644E-2</v>
      </c>
      <c r="Y63">
        <f t="shared" si="11"/>
        <v>2.5221817042287671</v>
      </c>
      <c r="Z63">
        <f t="shared" si="12"/>
        <v>5.3687331181118871</v>
      </c>
      <c r="AA63">
        <f t="shared" si="13"/>
        <v>12</v>
      </c>
    </row>
    <row r="64" spans="1:27" x14ac:dyDescent="0.25">
      <c r="A64" t="s">
        <v>129</v>
      </c>
      <c r="B64">
        <f>Parameters!B64</f>
        <v>0.3</v>
      </c>
      <c r="C64" t="s">
        <v>11</v>
      </c>
      <c r="K64">
        <v>37</v>
      </c>
      <c r="L64">
        <f t="shared" si="0"/>
        <v>1.5303029528278986</v>
      </c>
      <c r="M64">
        <f t="shared" si="1"/>
        <v>1557.6016376498194</v>
      </c>
      <c r="N64">
        <f t="shared" si="2"/>
        <v>1.2699999999999999E-2</v>
      </c>
      <c r="O64">
        <f t="shared" si="3"/>
        <v>2.0849785700824355</v>
      </c>
      <c r="P64">
        <f t="shared" si="4"/>
        <v>4</v>
      </c>
      <c r="Q64">
        <f t="shared" si="5"/>
        <v>0.97116557750045995</v>
      </c>
      <c r="R64">
        <f t="shared" si="14"/>
        <v>2.2743018946204758</v>
      </c>
      <c r="S64">
        <f t="shared" si="15"/>
        <v>0.13806290384687656</v>
      </c>
      <c r="T64">
        <f t="shared" si="6"/>
        <v>488.93367031012781</v>
      </c>
      <c r="U64">
        <f t="shared" si="7"/>
        <v>0.73340050546519164</v>
      </c>
      <c r="V64">
        <f t="shared" si="8"/>
        <v>0.59463922869746277</v>
      </c>
      <c r="W64">
        <f t="shared" si="9"/>
        <v>10</v>
      </c>
      <c r="X64" s="4">
        <f t="shared" si="10"/>
        <v>7.2510769390995627E-2</v>
      </c>
      <c r="Y64">
        <f t="shared" si="11"/>
        <v>2.5922423071240117</v>
      </c>
      <c r="Z64">
        <f t="shared" si="12"/>
        <v>5.4611834304419506</v>
      </c>
      <c r="AA64">
        <f t="shared" si="13"/>
        <v>11</v>
      </c>
    </row>
    <row r="65" spans="1:27" x14ac:dyDescent="0.25">
      <c r="A65" t="s">
        <v>148</v>
      </c>
      <c r="B65" s="5">
        <f>(EffFL-Eff4W)/(IoutVoutMax*VoutMax)*AtoDTrans*VoutMin+Eff4W-(EffFL-Eff4W)/(IoutVoutMax*VoutMax)*4</f>
        <v>0.84692307692307689</v>
      </c>
      <c r="C65" t="s">
        <v>5</v>
      </c>
      <c r="K65">
        <v>38</v>
      </c>
      <c r="L65">
        <f t="shared" si="0"/>
        <v>1.5303029528278986</v>
      </c>
      <c r="M65">
        <f t="shared" si="1"/>
        <v>1599.6989792079225</v>
      </c>
      <c r="N65">
        <f t="shared" si="2"/>
        <v>1.2699999999999999E-2</v>
      </c>
      <c r="O65">
        <f t="shared" si="3"/>
        <v>2.1413293422468254</v>
      </c>
      <c r="P65">
        <f t="shared" si="4"/>
        <v>3</v>
      </c>
      <c r="Q65">
        <f t="shared" si="5"/>
        <v>1.329884394415044</v>
      </c>
      <c r="R65">
        <f t="shared" si="14"/>
        <v>3.114359351192002</v>
      </c>
      <c r="S65">
        <f t="shared" si="15"/>
        <v>0.13442966953511662</v>
      </c>
      <c r="T65">
        <f t="shared" si="6"/>
        <v>459.56321177489514</v>
      </c>
      <c r="U65">
        <f t="shared" si="7"/>
        <v>0.68934481766234268</v>
      </c>
      <c r="V65">
        <f t="shared" si="8"/>
        <v>0.55891899122884314</v>
      </c>
      <c r="W65">
        <f t="shared" si="9"/>
        <v>10</v>
      </c>
      <c r="X65" s="4">
        <f t="shared" si="10"/>
        <v>7.4470519915076583E-2</v>
      </c>
      <c r="Y65">
        <f t="shared" si="11"/>
        <v>2.662302910019255</v>
      </c>
      <c r="Z65">
        <f t="shared" si="12"/>
        <v>6.3355812524401003</v>
      </c>
      <c r="AA65">
        <f t="shared" si="13"/>
        <v>11</v>
      </c>
    </row>
    <row r="66" spans="1:27" x14ac:dyDescent="0.25">
      <c r="A66" t="s">
        <v>150</v>
      </c>
      <c r="B66" s="4">
        <f>VoutMin*AtoDTrans*(1-nLinVoutminITranACF)</f>
        <v>0.22961538461538467</v>
      </c>
      <c r="C66" t="s">
        <v>4</v>
      </c>
      <c r="K66">
        <v>39</v>
      </c>
      <c r="L66">
        <f t="shared" si="0"/>
        <v>1.5303029528278986</v>
      </c>
      <c r="M66">
        <f t="shared" si="1"/>
        <v>1641.7963207660259</v>
      </c>
      <c r="N66">
        <f t="shared" si="2"/>
        <v>1.2699999999999999E-2</v>
      </c>
      <c r="O66">
        <f t="shared" si="3"/>
        <v>2.1976801144112161</v>
      </c>
      <c r="P66">
        <f t="shared" si="4"/>
        <v>3</v>
      </c>
      <c r="Q66">
        <f t="shared" si="5"/>
        <v>1.3648813521628087</v>
      </c>
      <c r="R66">
        <f t="shared" si="14"/>
        <v>3.1963161762233714</v>
      </c>
      <c r="S66">
        <f t="shared" si="15"/>
        <v>0.1309827549316521</v>
      </c>
      <c r="T66">
        <f t="shared" si="6"/>
        <v>432.65275027718019</v>
      </c>
      <c r="U66">
        <f t="shared" si="7"/>
        <v>0.6489791254157703</v>
      </c>
      <c r="V66">
        <f t="shared" si="8"/>
        <v>0.52619059259198109</v>
      </c>
      <c r="W66">
        <f t="shared" si="9"/>
        <v>9</v>
      </c>
      <c r="X66" s="4">
        <f t="shared" si="10"/>
        <v>8.4922522710175058E-2</v>
      </c>
      <c r="Y66">
        <f t="shared" si="11"/>
        <v>3.0359594587938874</v>
      </c>
      <c r="Z66">
        <f t="shared" si="12"/>
        <v>6.7584662276092402</v>
      </c>
      <c r="AA66">
        <f t="shared" si="13"/>
        <v>11</v>
      </c>
    </row>
    <row r="67" spans="1:27" x14ac:dyDescent="0.25">
      <c r="A67" t="s">
        <v>151</v>
      </c>
      <c r="B67" s="4">
        <f>PcircVoutminItranACF/VoutMin</f>
        <v>4.5923076923076935E-2</v>
      </c>
      <c r="C67" t="s">
        <v>11</v>
      </c>
      <c r="K67">
        <v>40</v>
      </c>
      <c r="L67">
        <f t="shared" si="0"/>
        <v>1.5303029528278986</v>
      </c>
      <c r="M67">
        <f t="shared" si="1"/>
        <v>1683.8936623241291</v>
      </c>
      <c r="N67">
        <f t="shared" si="2"/>
        <v>1.2699999999999999E-2</v>
      </c>
      <c r="O67">
        <f t="shared" si="3"/>
        <v>2.254030886575606</v>
      </c>
      <c r="P67">
        <f t="shared" si="4"/>
        <v>3</v>
      </c>
      <c r="Q67">
        <f t="shared" si="5"/>
        <v>1.3998783099105729</v>
      </c>
      <c r="R67">
        <f t="shared" si="14"/>
        <v>3.2782730012547399</v>
      </c>
      <c r="S67">
        <f t="shared" si="15"/>
        <v>0.12770818605836082</v>
      </c>
      <c r="T67">
        <f t="shared" si="6"/>
        <v>407.9408449002259</v>
      </c>
      <c r="U67">
        <f t="shared" si="7"/>
        <v>0.61191126735033885</v>
      </c>
      <c r="V67">
        <f t="shared" si="8"/>
        <v>0.4961360693604841</v>
      </c>
      <c r="W67">
        <f t="shared" si="9"/>
        <v>9</v>
      </c>
      <c r="X67" s="4">
        <f t="shared" si="10"/>
        <v>8.7100023292487228E-2</v>
      </c>
      <c r="Y67">
        <f t="shared" si="11"/>
        <v>3.1138045731219353</v>
      </c>
      <c r="Z67">
        <f t="shared" si="12"/>
        <v>6.8882136437371591</v>
      </c>
      <c r="AA67">
        <f t="shared" si="13"/>
        <v>10</v>
      </c>
    </row>
    <row r="68" spans="1:27" x14ac:dyDescent="0.25">
      <c r="A68" t="s">
        <v>149</v>
      </c>
      <c r="B68" s="5">
        <f>(EffFL-Eff4W)/(IoutVoutMax*VoutMax)*AtoDTrans*VoutMax+Eff4W-(EffFL-Eff4W)/(IoutVoutMax*VoutMax)*4</f>
        <v>0.85246153846153849</v>
      </c>
      <c r="C68" t="s">
        <v>5</v>
      </c>
      <c r="K68">
        <v>41</v>
      </c>
      <c r="L68">
        <f t="shared" si="0"/>
        <v>1.5303029528278986</v>
      </c>
      <c r="M68">
        <f t="shared" si="1"/>
        <v>1725.9910038822322</v>
      </c>
      <c r="N68">
        <f t="shared" si="2"/>
        <v>1.2699999999999999E-2</v>
      </c>
      <c r="O68">
        <f t="shared" si="3"/>
        <v>2.3103816587399959</v>
      </c>
      <c r="P68">
        <f t="shared" si="4"/>
        <v>3</v>
      </c>
      <c r="Q68">
        <f t="shared" si="5"/>
        <v>1.4348752676583372</v>
      </c>
      <c r="R68">
        <f t="shared" si="14"/>
        <v>3.3602298262861079</v>
      </c>
      <c r="S68">
        <f t="shared" si="15"/>
        <v>0.12459335225205931</v>
      </c>
      <c r="T68">
        <f t="shared" si="6"/>
        <v>385.19944413035313</v>
      </c>
      <c r="U68">
        <f t="shared" si="7"/>
        <v>0.57779916619552973</v>
      </c>
      <c r="V68">
        <f t="shared" si="8"/>
        <v>0.46847806617015464</v>
      </c>
      <c r="W68">
        <f t="shared" si="9"/>
        <v>9</v>
      </c>
      <c r="X68" s="4">
        <f t="shared" si="10"/>
        <v>8.9277523874799397E-2</v>
      </c>
      <c r="Y68">
        <f t="shared" si="11"/>
        <v>3.1916496874499831</v>
      </c>
      <c r="Z68">
        <f t="shared" si="12"/>
        <v>7.0203575799062454</v>
      </c>
      <c r="AA68">
        <f t="shared" si="13"/>
        <v>10</v>
      </c>
    </row>
    <row r="69" spans="1:27" x14ac:dyDescent="0.25">
      <c r="A69" t="s">
        <v>152</v>
      </c>
      <c r="B69" s="4">
        <f>VoutMax*AtoDTrans*(1-nLinVoutmaxITranACF)</f>
        <v>0.88523076923076904</v>
      </c>
      <c r="C69" t="s">
        <v>4</v>
      </c>
      <c r="K69">
        <v>42</v>
      </c>
      <c r="L69">
        <f t="shared" si="0"/>
        <v>1.5303029528278986</v>
      </c>
      <c r="M69">
        <f t="shared" si="1"/>
        <v>1768.0883454403358</v>
      </c>
      <c r="N69">
        <f t="shared" si="2"/>
        <v>1.2699999999999999E-2</v>
      </c>
      <c r="O69">
        <f t="shared" si="3"/>
        <v>2.3667324309043867</v>
      </c>
      <c r="P69">
        <f t="shared" si="4"/>
        <v>3</v>
      </c>
      <c r="Q69">
        <f t="shared" si="5"/>
        <v>1.4698722254061019</v>
      </c>
      <c r="R69">
        <f t="shared" si="14"/>
        <v>3.4421866513174773</v>
      </c>
      <c r="S69">
        <f t="shared" si="15"/>
        <v>0.12162684386510553</v>
      </c>
      <c r="T69">
        <f t="shared" si="6"/>
        <v>364.22893947784621</v>
      </c>
      <c r="U69">
        <f t="shared" si="7"/>
        <v>0.54634340921676927</v>
      </c>
      <c r="V69">
        <f t="shared" si="8"/>
        <v>0.44297381995194324</v>
      </c>
      <c r="W69">
        <f t="shared" si="9"/>
        <v>9</v>
      </c>
      <c r="X69" s="4">
        <f t="shared" si="10"/>
        <v>9.1455024457111608E-2</v>
      </c>
      <c r="Y69">
        <f t="shared" si="11"/>
        <v>3.2694948017780328</v>
      </c>
      <c r="Z69">
        <f t="shared" si="12"/>
        <v>7.1546552730474531</v>
      </c>
      <c r="AA69">
        <f t="shared" si="13"/>
        <v>10</v>
      </c>
    </row>
    <row r="70" spans="1:27" x14ac:dyDescent="0.25">
      <c r="A70" t="s">
        <v>153</v>
      </c>
      <c r="B70" s="4">
        <f>PcircVoutmaxItranACF/VoutMax</f>
        <v>4.4261538461538449E-2</v>
      </c>
      <c r="C70" t="s">
        <v>11</v>
      </c>
      <c r="K70">
        <v>43</v>
      </c>
      <c r="L70">
        <f t="shared" si="0"/>
        <v>1.5303029528278986</v>
      </c>
      <c r="M70">
        <f t="shared" si="1"/>
        <v>1810.185686998439</v>
      </c>
      <c r="N70">
        <f t="shared" si="2"/>
        <v>1.2699999999999999E-2</v>
      </c>
      <c r="O70">
        <f t="shared" si="3"/>
        <v>2.4230832030687766</v>
      </c>
      <c r="P70">
        <f t="shared" si="4"/>
        <v>3</v>
      </c>
      <c r="Q70">
        <f t="shared" si="5"/>
        <v>1.5048691831538661</v>
      </c>
      <c r="R70">
        <f t="shared" si="14"/>
        <v>3.5241434763488457</v>
      </c>
      <c r="S70">
        <f t="shared" si="15"/>
        <v>0.11879831261242865</v>
      </c>
      <c r="T70">
        <f t="shared" si="6"/>
        <v>344.85404827859543</v>
      </c>
      <c r="U70">
        <f t="shared" si="7"/>
        <v>0.51728107241789312</v>
      </c>
      <c r="V70">
        <f t="shared" si="8"/>
        <v>0.41941015261131603</v>
      </c>
      <c r="W70">
        <f t="shared" si="9"/>
        <v>9</v>
      </c>
      <c r="X70" s="4">
        <f t="shared" si="10"/>
        <v>9.3632525039423778E-2</v>
      </c>
      <c r="Y70">
        <f t="shared" si="11"/>
        <v>3.3473399161060806</v>
      </c>
      <c r="Z70">
        <f t="shared" si="12"/>
        <v>7.2908935450662424</v>
      </c>
      <c r="AA70">
        <f t="shared" si="13"/>
        <v>10</v>
      </c>
    </row>
    <row r="71" spans="1:27" x14ac:dyDescent="0.25">
      <c r="A71" t="s">
        <v>147</v>
      </c>
      <c r="B71" s="5">
        <f>VoutMax*Nch/(VoutMax*Nch+VinMin)+(2*FminACF*10^3*AtoDTrans*Lleak*10^-6/(Nch*EffFL*VinMin))</f>
        <v>0.48554537766643263</v>
      </c>
      <c r="C71" t="s">
        <v>5</v>
      </c>
      <c r="K71">
        <v>44</v>
      </c>
      <c r="L71">
        <f t="shared" si="0"/>
        <v>1.5303029528278986</v>
      </c>
      <c r="M71">
        <f t="shared" si="1"/>
        <v>1852.2830285565421</v>
      </c>
      <c r="N71">
        <f t="shared" si="2"/>
        <v>1.2699999999999999E-2</v>
      </c>
      <c r="O71">
        <f t="shared" si="3"/>
        <v>2.4794339752331669</v>
      </c>
      <c r="P71">
        <f t="shared" si="4"/>
        <v>3</v>
      </c>
      <c r="Q71">
        <f t="shared" si="5"/>
        <v>1.5398661409016303</v>
      </c>
      <c r="R71">
        <f t="shared" si="14"/>
        <v>3.6061003013802138</v>
      </c>
      <c r="S71">
        <f t="shared" si="15"/>
        <v>0.11609835096214617</v>
      </c>
      <c r="T71">
        <f t="shared" si="6"/>
        <v>326.92037124054855</v>
      </c>
      <c r="U71">
        <f t="shared" si="7"/>
        <v>0.49038055686082282</v>
      </c>
      <c r="V71">
        <f t="shared" si="8"/>
        <v>0.39759928432963393</v>
      </c>
      <c r="W71">
        <f t="shared" si="9"/>
        <v>8</v>
      </c>
      <c r="X71" s="4">
        <f t="shared" si="10"/>
        <v>0.10778627882445296</v>
      </c>
      <c r="Y71">
        <f t="shared" si="11"/>
        <v>3.8533331592383955</v>
      </c>
      <c r="Z71">
        <f t="shared" si="12"/>
        <v>7.8570327449482438</v>
      </c>
      <c r="AA71">
        <f t="shared" si="13"/>
        <v>9</v>
      </c>
    </row>
    <row r="72" spans="1:27" x14ac:dyDescent="0.25">
      <c r="A72" t="s">
        <v>146</v>
      </c>
      <c r="B72" s="5">
        <f>VoutMin*Nch/(VoutMin*Nch+VinMin)+(2*FminACF*10^3*AtoDTrans*Lleak*10^-6/(Nch*EffFL*VinMin))</f>
        <v>0.19100757325840856</v>
      </c>
      <c r="C72" t="s">
        <v>5</v>
      </c>
    </row>
    <row r="73" spans="1:27" x14ac:dyDescent="0.25">
      <c r="A73" t="s">
        <v>144</v>
      </c>
      <c r="B73" s="4">
        <f>10^9*IF(CswTotal*10^-12*(VinMin+VoutMax*Nch)*((1-DutyACFVinminVoutmaxItranACF)*Nch)/(AtoDTrans*2)&lt;RiseMax,CswTotal*10^-12*(VinMin+VoutMax*Nch)*((1-DutyACFVinminVoutmaxItranACF)*Nch)/(AtoDTrans*2),RiseMax)</f>
        <v>137.10835545571834</v>
      </c>
      <c r="C73" t="s">
        <v>38</v>
      </c>
    </row>
    <row r="74" spans="1:27" x14ac:dyDescent="0.25">
      <c r="A74" t="s">
        <v>145</v>
      </c>
      <c r="B74" s="4">
        <f>10^9*IF(CswTotal*10^-12*(VinMin+VoutMin*Nch)*((1-DutyACFVinminVoutminItranACF)*Nch)/((AtoDTrans)*2)&lt;RiseMax,CswTotal*10^-12*(VinMin+VoutMin*Nch)*((1-DutyACFVinminVoutminItranACF)*Nch)/((AtoDTrans)*2),RiseMax)</f>
        <v>137.133963788221</v>
      </c>
      <c r="C74" t="s">
        <v>38</v>
      </c>
      <c r="K74" t="s">
        <v>492</v>
      </c>
      <c r="L74" t="s">
        <v>493</v>
      </c>
      <c r="M74" t="s">
        <v>449</v>
      </c>
      <c r="N74" t="s">
        <v>494</v>
      </c>
      <c r="O74" t="s">
        <v>495</v>
      </c>
      <c r="P74" t="s">
        <v>496</v>
      </c>
      <c r="Q74" t="s">
        <v>499</v>
      </c>
      <c r="R74" t="s">
        <v>498</v>
      </c>
    </row>
    <row r="75" spans="1:27" x14ac:dyDescent="0.25">
      <c r="A75" t="s">
        <v>142</v>
      </c>
      <c r="B75" s="4">
        <f>1/((1/((VinMin*Nch*VoutMax/(Nch*VoutMax+VinMin))/(2*Lch*10^-6*((AtoDTrans+IcircVoutmaxItranACF)/((1-Nch*VoutMax/(Nch*VoutMax+VinMin))*Nch)-InegVinminVoutmax))))+Tzvs*10^-9+RisetimeVinminVoutmaxItranACF*10^-9)/1000</f>
        <v>820.14259120960787</v>
      </c>
      <c r="C75" t="s">
        <v>6</v>
      </c>
      <c r="J75">
        <v>0.04</v>
      </c>
      <c r="K75">
        <f t="shared" ref="K75:K99" si="16">J75*IoutVoutMax</f>
        <v>0.13</v>
      </c>
      <c r="L75">
        <f t="shared" ref="L75:L99" si="17">10^9*IF(CswTotal*10^-12*(VinMin+VoutMin*Nch)*((1-O75)*Nch)/((K75)*2)&lt;RiseMax,CswTotal*10^-12*(VinMin+VoutMin*Nch)*((1-O75)*Nch)/((K75)*2),RiseMax)</f>
        <v>201.30373020264204</v>
      </c>
      <c r="M75">
        <f t="shared" ref="M75:M99" si="18">VoutMax*K75*(1-N75)/VoutMax</f>
        <v>1.9724000000000005E-2</v>
      </c>
      <c r="N75">
        <f t="shared" ref="N75:N99" si="19">(EffFL-Eff4W)/(IoutVoutMax*VoutMax)*K75*VoutMax+Eff4W-(EffFL-Eff4W)/(IoutVoutMax*VoutMax)*4</f>
        <v>0.84827692307692304</v>
      </c>
      <c r="O75">
        <f t="shared" ref="O75:O99" si="20">VoutMax*Nch/(VoutMax*Nch+VinMin)+(2*FminACF*10^3*K75*Lleak*10^-6/(Nch*EffFL*VinMin))</f>
        <v>0.4853957757239773</v>
      </c>
      <c r="P75">
        <f t="shared" ref="P75:P99" si="21">1/((1/((VinMin*Nch*VoutMax/(Nch*VoutMax+VinMin))/(2*Lch*10^-6*((K75+M75)/((1-Nch*VoutMax/(Nch*VoutMax+VinMin))*Nch)-InegVinminVoutmax))))+Tzvs*10^-9+L75*10^-9)/1000</f>
        <v>962.70996362233177</v>
      </c>
      <c r="Q75">
        <f t="shared" ref="Q75:Q99" si="22">SQRT(pcop/(PI()*MuO*MuRC*P75*10^3))</f>
        <v>6.6880091567067754E-5</v>
      </c>
      <c r="R75">
        <f>ROUND(-39*LOG(Q75/0.000127,92)+36,0)</f>
        <v>42</v>
      </c>
    </row>
    <row r="76" spans="1:27" x14ac:dyDescent="0.25">
      <c r="A76" t="s">
        <v>143</v>
      </c>
      <c r="B76" s="4">
        <f>1/((1/((VinMin*Nch*VoutMin/(Nch*VoutMin+VinMin))/(2*Lch*10^-6*((AtoDTrans+IcircVoutminItranACF)/((1-Nch*VoutMin/(Nch*VoutMin+VinMin))*Nch)-InegVinminVoutmin))))+Tzvs*10^-9+RisetimeVinminVoutminItranACF*10^-9)/1000</f>
        <v>375.13347767452063</v>
      </c>
      <c r="C76" t="s">
        <v>6</v>
      </c>
      <c r="J76">
        <v>0.08</v>
      </c>
      <c r="K76">
        <f t="shared" si="16"/>
        <v>0.26</v>
      </c>
      <c r="L76">
        <f t="shared" si="17"/>
        <v>100.62948922033638</v>
      </c>
      <c r="M76">
        <f t="shared" si="18"/>
        <v>3.8616000000000018E-2</v>
      </c>
      <c r="N76">
        <f t="shared" si="19"/>
        <v>0.85147692307692302</v>
      </c>
      <c r="O76">
        <f t="shared" si="20"/>
        <v>0.48551017720938433</v>
      </c>
      <c r="P76">
        <f t="shared" si="21"/>
        <v>888.57966188006469</v>
      </c>
      <c r="Q76">
        <f t="shared" si="22"/>
        <v>6.9613970995464534E-5</v>
      </c>
      <c r="R76">
        <f t="shared" ref="R76:R99" si="23">ROUND(-39*LOG(Q76/0.000127,92)+36,0)</f>
        <v>41</v>
      </c>
    </row>
    <row r="77" spans="1:27" x14ac:dyDescent="0.25">
      <c r="A77" t="s">
        <v>140</v>
      </c>
      <c r="B77" s="4">
        <f>IF(AtoDFswVoMax&gt;FswACFMax,IF(FswNolimACFVinminVoutmaxItranACF&lt;FswACFMinChRt,FswACFMinChRt,IF(FswNolimACFVinminVoutmaxItranACF&lt;FswACFMax,FswNolimACFVinminVoutmaxItranACF,FswACFMax)),IF(AtoDFswVoMax&lt;FswACFMinChRt,IF(FswNolimACFVinminVoutmaxItranACF&lt;FswACFMinChRt,FswACFMinChRt,IF(FswNolimACFVinminVoutmaxItranACF&lt;FswACFMax,FswNolimACFVinminVoutmaxItranACF,FswACFMax)),AtoDFswVoMax))</f>
        <v>287</v>
      </c>
      <c r="C77" t="s">
        <v>6</v>
      </c>
      <c r="J77">
        <v>0.12</v>
      </c>
      <c r="K77">
        <f t="shared" si="16"/>
        <v>0.39</v>
      </c>
      <c r="L77">
        <f t="shared" si="17"/>
        <v>67.071408892901218</v>
      </c>
      <c r="M77">
        <f t="shared" si="18"/>
        <v>5.667599999999999E-2</v>
      </c>
      <c r="N77">
        <f t="shared" si="19"/>
        <v>0.85467692307692311</v>
      </c>
      <c r="O77">
        <f t="shared" si="20"/>
        <v>0.48562457869479131</v>
      </c>
      <c r="P77">
        <f t="shared" si="21"/>
        <v>782.40042075823237</v>
      </c>
      <c r="Q77">
        <f t="shared" si="22"/>
        <v>7.4187383561203293E-5</v>
      </c>
      <c r="R77">
        <f t="shared" si="23"/>
        <v>41</v>
      </c>
    </row>
    <row r="78" spans="1:27" x14ac:dyDescent="0.25">
      <c r="A78" t="s">
        <v>141</v>
      </c>
      <c r="B78" s="4">
        <f>IF(AtoDFswVoMin&gt;FswACFMax,IF(FswNolimACFVinminVoutminItranACF&lt;FswACFMinChRt,FswACFMinChRt,IF(FswNolimACFVinminVoutminItranACF&lt;FswACFMax,FswNolimACFVinminVoutminItranACF,FswACFMax)),IF(AtoDFswVoMin&lt;FswACFMinChRt,IF(FswNolimACFVinminVoutminItranACF&lt;FswACFMinChRt,FswACFMinChRt,IF(FswNolimACFVinminVoutminItranACF&lt;FswACFMax,FswNolimACFVinminVoutminItranACF,FswACFMax)),AtoDFswVoMin))</f>
        <v>184</v>
      </c>
      <c r="C78" t="s">
        <v>6</v>
      </c>
      <c r="J78">
        <v>0.16</v>
      </c>
      <c r="K78">
        <f t="shared" si="16"/>
        <v>0.52</v>
      </c>
      <c r="L78">
        <f t="shared" si="17"/>
        <v>50.292368729183593</v>
      </c>
      <c r="M78">
        <f t="shared" si="18"/>
        <v>7.3903999999999997E-2</v>
      </c>
      <c r="N78">
        <f t="shared" si="19"/>
        <v>0.85787692307692309</v>
      </c>
      <c r="O78">
        <f t="shared" si="20"/>
        <v>0.48573898018019834</v>
      </c>
      <c r="P78">
        <f t="shared" si="21"/>
        <v>691.2872845014615</v>
      </c>
      <c r="Q78">
        <f t="shared" si="22"/>
        <v>7.8925130389330512E-5</v>
      </c>
      <c r="R78">
        <f t="shared" si="23"/>
        <v>40</v>
      </c>
    </row>
    <row r="79" spans="1:27" x14ac:dyDescent="0.25">
      <c r="A79" t="s">
        <v>138</v>
      </c>
      <c r="B79" s="4">
        <f>(1/(FswACFVinminVoutmaxItranACF*10^3))*(Nch*(VoutMax+Vforward)/((VoutMax+Vforward)*Nch+VinMin))*10^6</f>
        <v>1.6908758684270739</v>
      </c>
      <c r="C79" t="s">
        <v>155</v>
      </c>
      <c r="J79">
        <v>0.2</v>
      </c>
      <c r="K79">
        <f t="shared" si="16"/>
        <v>0.65</v>
      </c>
      <c r="L79">
        <f t="shared" si="17"/>
        <v>40.224944630953026</v>
      </c>
      <c r="M79">
        <f t="shared" si="18"/>
        <v>9.0300000000000005E-2</v>
      </c>
      <c r="N79">
        <f t="shared" si="19"/>
        <v>0.86107692307692307</v>
      </c>
      <c r="O79">
        <f t="shared" si="20"/>
        <v>0.48585338166560538</v>
      </c>
      <c r="P79">
        <f t="shared" si="21"/>
        <v>617.01731171990582</v>
      </c>
      <c r="Q79">
        <f t="shared" si="22"/>
        <v>8.3540278299485036E-5</v>
      </c>
      <c r="R79">
        <f t="shared" si="23"/>
        <v>40</v>
      </c>
    </row>
    <row r="80" spans="1:27" x14ac:dyDescent="0.25">
      <c r="A80" t="s">
        <v>139</v>
      </c>
      <c r="B80" s="4">
        <f>(1/(FswACFVinminVoutminItranACF*10^3))*(Nch*(VoutMin+Vforward)/((VoutMin+Vforward)*Nch+VinMin))*10^6</f>
        <v>1.0366498360355771</v>
      </c>
      <c r="C80" t="s">
        <v>155</v>
      </c>
      <c r="J80">
        <v>0.24</v>
      </c>
      <c r="K80">
        <f t="shared" si="16"/>
        <v>0.78</v>
      </c>
      <c r="L80">
        <f t="shared" si="17"/>
        <v>33.513328565465983</v>
      </c>
      <c r="M80">
        <f t="shared" si="18"/>
        <v>0.10586400000000003</v>
      </c>
      <c r="N80">
        <f t="shared" si="19"/>
        <v>0.86427692307692305</v>
      </c>
      <c r="O80">
        <f t="shared" si="20"/>
        <v>0.48596778315101241</v>
      </c>
      <c r="P80">
        <f t="shared" si="21"/>
        <v>556.44197862796398</v>
      </c>
      <c r="Q80">
        <f t="shared" si="22"/>
        <v>8.7970011594985131E-5</v>
      </c>
      <c r="R80">
        <f t="shared" si="23"/>
        <v>39</v>
      </c>
    </row>
    <row r="81" spans="1:18" x14ac:dyDescent="0.25">
      <c r="A81" t="s">
        <v>134</v>
      </c>
      <c r="B81" s="4">
        <f>VinMin*TACFVinminVoutmaxItranACF*10^-6/(Lch*10^-6)</f>
        <v>1.7934446890642148</v>
      </c>
      <c r="C81" t="s">
        <v>11</v>
      </c>
      <c r="J81">
        <v>0.28000000000000003</v>
      </c>
      <c r="K81">
        <f t="shared" si="16"/>
        <v>0.91000000000000014</v>
      </c>
      <c r="L81">
        <f t="shared" si="17"/>
        <v>28.719317090118096</v>
      </c>
      <c r="M81">
        <f t="shared" si="18"/>
        <v>0.12059600000000006</v>
      </c>
      <c r="N81">
        <f t="shared" si="19"/>
        <v>0.86747692307692303</v>
      </c>
      <c r="O81">
        <f t="shared" si="20"/>
        <v>0.48608218463641945</v>
      </c>
      <c r="P81">
        <f t="shared" si="21"/>
        <v>506.47378147948604</v>
      </c>
      <c r="Q81">
        <f t="shared" si="22"/>
        <v>9.2207470477067725E-5</v>
      </c>
      <c r="R81">
        <f t="shared" si="23"/>
        <v>39</v>
      </c>
    </row>
    <row r="82" spans="1:18" x14ac:dyDescent="0.25">
      <c r="A82" t="s">
        <v>135</v>
      </c>
      <c r="B82" s="4">
        <f>VinMin*TACFVinminVoutminItranACF*10^-6/(Lch*10^-6)</f>
        <v>1.099533193165019</v>
      </c>
      <c r="C82" t="s">
        <v>11</v>
      </c>
      <c r="J82">
        <v>0.32</v>
      </c>
      <c r="K82">
        <f t="shared" si="16"/>
        <v>1.04</v>
      </c>
      <c r="L82">
        <f t="shared" si="17"/>
        <v>25.123808483607185</v>
      </c>
      <c r="M82">
        <f t="shared" si="18"/>
        <v>0.13449599999999995</v>
      </c>
      <c r="N82">
        <f t="shared" si="19"/>
        <v>0.87067692307692313</v>
      </c>
      <c r="O82">
        <f t="shared" si="20"/>
        <v>0.48619658612182642</v>
      </c>
      <c r="P82">
        <f t="shared" si="21"/>
        <v>464.70757924699268</v>
      </c>
      <c r="Q82">
        <f t="shared" si="22"/>
        <v>9.6261963170982172E-5</v>
      </c>
      <c r="R82">
        <f t="shared" si="23"/>
        <v>38</v>
      </c>
    </row>
    <row r="83" spans="1:18" x14ac:dyDescent="0.25">
      <c r="A83" t="s">
        <v>136</v>
      </c>
      <c r="B83" s="4">
        <f>AtoDTrans/Nch*(VinMin+(VoutMax+Vforward)*Nch)/VinMin</f>
        <v>9.7140452079103171E-2</v>
      </c>
      <c r="C83" t="s">
        <v>11</v>
      </c>
      <c r="J83">
        <v>0.36</v>
      </c>
      <c r="K83">
        <f t="shared" si="16"/>
        <v>1.17</v>
      </c>
      <c r="L83">
        <f t="shared" si="17"/>
        <v>22.32730178965425</v>
      </c>
      <c r="M83">
        <f t="shared" si="18"/>
        <v>0.14756399999999997</v>
      </c>
      <c r="N83">
        <f t="shared" si="19"/>
        <v>0.87387692307692311</v>
      </c>
      <c r="O83">
        <f t="shared" si="20"/>
        <v>0.48631098760723346</v>
      </c>
      <c r="P83">
        <f t="shared" si="21"/>
        <v>429.35074477944767</v>
      </c>
      <c r="Q83">
        <f t="shared" si="22"/>
        <v>1.0014712404314869E-4</v>
      </c>
      <c r="R83">
        <f t="shared" si="23"/>
        <v>38</v>
      </c>
    </row>
    <row r="84" spans="1:18" x14ac:dyDescent="0.25">
      <c r="A84" t="s">
        <v>137</v>
      </c>
      <c r="B84" s="4">
        <f>AtoDTrans/Nch*(VinMin+(VoutMin+Vforward)*Nch)/VinMin</f>
        <v>6.1785113019775788E-2</v>
      </c>
      <c r="C84" t="s">
        <v>11</v>
      </c>
      <c r="J84">
        <v>0.4</v>
      </c>
      <c r="K84">
        <f t="shared" si="16"/>
        <v>1.3</v>
      </c>
      <c r="L84">
        <f t="shared" si="17"/>
        <v>20.090096434491905</v>
      </c>
      <c r="M84">
        <f t="shared" si="18"/>
        <v>0.1598</v>
      </c>
      <c r="N84">
        <f t="shared" si="19"/>
        <v>0.87707692307692309</v>
      </c>
      <c r="O84">
        <f t="shared" si="20"/>
        <v>0.48642538909264049</v>
      </c>
      <c r="P84">
        <f t="shared" si="21"/>
        <v>399.07131155373884</v>
      </c>
      <c r="Q84">
        <f t="shared" si="22"/>
        <v>1.0387698554938615E-4</v>
      </c>
      <c r="R84">
        <f t="shared" si="23"/>
        <v>38</v>
      </c>
    </row>
    <row r="85" spans="1:18" x14ac:dyDescent="0.25">
      <c r="A85" t="s">
        <v>132</v>
      </c>
      <c r="B85" s="4">
        <f>ImidACFVinminVoutmaxItranACF+0.5*dIACFVinminVoutmaxItranACF</f>
        <v>0.99386279661121057</v>
      </c>
      <c r="C85" t="s">
        <v>11</v>
      </c>
      <c r="J85">
        <v>0.44</v>
      </c>
      <c r="K85">
        <f t="shared" si="16"/>
        <v>1.43</v>
      </c>
      <c r="L85">
        <f t="shared" si="17"/>
        <v>18.259655689359075</v>
      </c>
      <c r="M85">
        <f t="shared" si="18"/>
        <v>0.171204</v>
      </c>
      <c r="N85">
        <f t="shared" si="19"/>
        <v>0.88027692307692307</v>
      </c>
      <c r="O85">
        <f t="shared" si="20"/>
        <v>0.48653979057804753</v>
      </c>
      <c r="P85">
        <f t="shared" si="21"/>
        <v>372.87032818874502</v>
      </c>
      <c r="Q85">
        <f t="shared" si="22"/>
        <v>1.0746466268309401E-4</v>
      </c>
      <c r="R85">
        <f t="shared" si="23"/>
        <v>37</v>
      </c>
    </row>
    <row r="86" spans="1:18" x14ac:dyDescent="0.25">
      <c r="A86" t="s">
        <v>133</v>
      </c>
      <c r="B86" s="4">
        <f>ImidACFVinminVoutminItranACF+0.5*dIACFVinminVoutminItranACF</f>
        <v>0.61155170960228522</v>
      </c>
      <c r="C86" t="s">
        <v>11</v>
      </c>
      <c r="J86">
        <v>0.48</v>
      </c>
      <c r="K86">
        <f t="shared" si="16"/>
        <v>1.56</v>
      </c>
      <c r="L86">
        <f t="shared" si="17"/>
        <v>16.73428840174838</v>
      </c>
      <c r="M86">
        <f t="shared" si="18"/>
        <v>0.18177600000000008</v>
      </c>
      <c r="N86">
        <f t="shared" si="19"/>
        <v>0.88347692307692305</v>
      </c>
      <c r="O86">
        <f t="shared" si="20"/>
        <v>0.48665419206345456</v>
      </c>
      <c r="P86">
        <f t="shared" si="21"/>
        <v>349.98865634540499</v>
      </c>
      <c r="Q86">
        <f t="shared" si="22"/>
        <v>1.1092197867428189E-4</v>
      </c>
      <c r="R86">
        <f t="shared" si="23"/>
        <v>37</v>
      </c>
    </row>
    <row r="87" spans="1:18" x14ac:dyDescent="0.25">
      <c r="A87" t="s">
        <v>130</v>
      </c>
      <c r="B87" s="4">
        <f>ImaxACFVinminVoutmaxItranACF*RSCh*10^-3*FBGain-VcompRoppVinminVoutmax+VinMin*CompDel*10^-9*RSCh*10^-3*FBGain/(Lch*10^-6)</f>
        <v>0.78515674877012509</v>
      </c>
      <c r="C87" t="s">
        <v>21</v>
      </c>
      <c r="J87">
        <v>0.52</v>
      </c>
      <c r="K87">
        <f t="shared" si="16"/>
        <v>1.69</v>
      </c>
      <c r="L87">
        <f t="shared" si="17"/>
        <v>15.443593004539338</v>
      </c>
      <c r="M87">
        <f t="shared" si="18"/>
        <v>0.19151599999999988</v>
      </c>
      <c r="N87">
        <f t="shared" si="19"/>
        <v>0.88667692307692314</v>
      </c>
      <c r="O87">
        <f t="shared" si="20"/>
        <v>0.48676859354886154</v>
      </c>
      <c r="P87">
        <f t="shared" si="21"/>
        <v>329.84127073161676</v>
      </c>
      <c r="Q87">
        <f t="shared" si="22"/>
        <v>1.1425944096387688E-4</v>
      </c>
      <c r="R87">
        <f t="shared" si="23"/>
        <v>37</v>
      </c>
    </row>
    <row r="88" spans="1:18" x14ac:dyDescent="0.25">
      <c r="A88" t="s">
        <v>131</v>
      </c>
      <c r="B88" s="4">
        <f>ImaxACFVinminVoutminItranACF*RSCh*10^-3*FBGain-VcompRoppVinminVoutmin+VinMin*CompDel*10^-9*RSCh*10^-3*FBGain/(Lch*10^-6)</f>
        <v>0.4275656617611997</v>
      </c>
      <c r="C88" t="s">
        <v>21</v>
      </c>
      <c r="J88">
        <v>0.56000000000000005</v>
      </c>
      <c r="K88">
        <f t="shared" si="16"/>
        <v>1.8200000000000003</v>
      </c>
      <c r="L88">
        <f t="shared" si="17"/>
        <v>14.337282664074436</v>
      </c>
      <c r="M88">
        <f t="shared" si="18"/>
        <v>0.20042399999999994</v>
      </c>
      <c r="N88">
        <f t="shared" si="19"/>
        <v>0.88987692307692312</v>
      </c>
      <c r="O88">
        <f t="shared" si="20"/>
        <v>0.48688299503426857</v>
      </c>
      <c r="P88">
        <f t="shared" si="21"/>
        <v>311.97113789083448</v>
      </c>
      <c r="Q88">
        <f t="shared" si="22"/>
        <v>1.1748634249140009E-4</v>
      </c>
      <c r="R88">
        <f t="shared" si="23"/>
        <v>37</v>
      </c>
    </row>
    <row r="89" spans="1:18" x14ac:dyDescent="0.25">
      <c r="A89" t="s">
        <v>156</v>
      </c>
      <c r="B89" s="6">
        <f>IF(VoutMax=VoutMin,"DNI",IF(ABS(1-VoutMax/VoutMin)&lt;0.05,"DNI",(VREFRangeVoutmin*VFBACFVinminVoutmaxItranACF-VREFRangeVoutmax*VFBACFVinminVoutminItranACF)/(IDTH*10^-6*VFBACFVinminVoutminItranACF-IDTH*10^-6*VFBACFVinminVoutmaxItranACF)/1000))</f>
        <v>606.33976288876249</v>
      </c>
      <c r="C89" t="s">
        <v>40</v>
      </c>
      <c r="J89">
        <v>0.6</v>
      </c>
      <c r="K89">
        <f t="shared" si="16"/>
        <v>1.95</v>
      </c>
      <c r="L89">
        <f t="shared" si="17"/>
        <v>13.37848036900486</v>
      </c>
      <c r="M89">
        <f t="shared" si="18"/>
        <v>0.20849999999999996</v>
      </c>
      <c r="N89">
        <f t="shared" si="19"/>
        <v>0.8930769230769231</v>
      </c>
      <c r="O89">
        <f t="shared" si="20"/>
        <v>0.48699739651967561</v>
      </c>
      <c r="P89">
        <f t="shared" si="21"/>
        <v>296.01660508614651</v>
      </c>
      <c r="Q89">
        <f t="shared" si="22"/>
        <v>1.2061089927096502E-4</v>
      </c>
      <c r="R89">
        <f t="shared" si="23"/>
        <v>36</v>
      </c>
    </row>
    <row r="90" spans="1:18" x14ac:dyDescent="0.25">
      <c r="A90" t="s">
        <v>157</v>
      </c>
      <c r="B90" s="6">
        <f>IF(OR(RDTH1Ch="DNI",RDTH1Ch=0),IF(VinMax=VinMin,VFBACFVinminVoutmaxItranACF/IDTH,(1000000*10^3*VFBACFVinminVoutminItranACF/(VREFRangeVoutmin-VFBACFVinminVoutminItranACF+IDTH*10^-6*1000000*10^3))/1000),IF(VinMax=VinMin,VFBACFVinminVoutmaxItranACF/IDTH,(RDTH1Ch*10^3*VFBACFVinminVoutminItranACF/(VREFRangeVoutmin-VFBACFVinminVoutminItranACF+IDTH*10^-6*RDTH1Ch*10^3))/1000))</f>
        <v>19.852249997323923</v>
      </c>
      <c r="C90" t="s">
        <v>40</v>
      </c>
      <c r="J90">
        <v>0.64</v>
      </c>
      <c r="K90">
        <f t="shared" si="16"/>
        <v>2.08</v>
      </c>
      <c r="L90">
        <f t="shared" si="17"/>
        <v>12.539528360818979</v>
      </c>
      <c r="M90">
        <f t="shared" si="18"/>
        <v>0.21574399999999999</v>
      </c>
      <c r="N90">
        <f t="shared" si="19"/>
        <v>0.89627692307692308</v>
      </c>
      <c r="O90">
        <f t="shared" si="20"/>
        <v>0.48711179800508264</v>
      </c>
      <c r="P90">
        <f t="shared" si="21"/>
        <v>281.68807295335199</v>
      </c>
      <c r="Q90">
        <f t="shared" si="22"/>
        <v>1.2364038904720957E-4</v>
      </c>
      <c r="R90">
        <f t="shared" si="23"/>
        <v>36</v>
      </c>
    </row>
    <row r="91" spans="1:18" x14ac:dyDescent="0.25">
      <c r="A91" t="s">
        <v>159</v>
      </c>
      <c r="B91">
        <f>(Pout/EffFL)/(VinMin*PowerFactor)</f>
        <v>0.54912712995371071</v>
      </c>
      <c r="C91" t="s">
        <v>11</v>
      </c>
      <c r="J91">
        <v>0.68</v>
      </c>
      <c r="K91">
        <f t="shared" si="16"/>
        <v>2.21</v>
      </c>
      <c r="L91">
        <f t="shared" si="17"/>
        <v>11.799276588890264</v>
      </c>
      <c r="M91">
        <f t="shared" si="18"/>
        <v>0.22215600000000008</v>
      </c>
      <c r="N91">
        <f t="shared" si="19"/>
        <v>0.89947692307692306</v>
      </c>
      <c r="O91">
        <f t="shared" si="20"/>
        <v>0.48722619949048968</v>
      </c>
      <c r="P91">
        <f t="shared" si="21"/>
        <v>268.7510888325632</v>
      </c>
      <c r="Q91">
        <f t="shared" si="22"/>
        <v>1.2658127799596995E-4</v>
      </c>
      <c r="R91">
        <f t="shared" si="23"/>
        <v>36</v>
      </c>
    </row>
    <row r="92" spans="1:18" x14ac:dyDescent="0.25">
      <c r="A92" t="s">
        <v>160</v>
      </c>
      <c r="B92">
        <f>1.5*IinDCMax</f>
        <v>0.82369069493056601</v>
      </c>
      <c r="C92" t="s">
        <v>11</v>
      </c>
      <c r="J92">
        <v>0.72</v>
      </c>
      <c r="K92">
        <f t="shared" si="16"/>
        <v>2.34</v>
      </c>
      <c r="L92">
        <f t="shared" si="17"/>
        <v>11.141275013842513</v>
      </c>
      <c r="M92">
        <f t="shared" si="18"/>
        <v>0.2277359999999998</v>
      </c>
      <c r="N92">
        <f t="shared" si="19"/>
        <v>0.90267692307692315</v>
      </c>
      <c r="O92">
        <f t="shared" si="20"/>
        <v>0.48734060097589665</v>
      </c>
      <c r="P92">
        <f t="shared" si="21"/>
        <v>257.01392890998926</v>
      </c>
      <c r="Q92">
        <f t="shared" si="22"/>
        <v>1.2943933170660247E-4</v>
      </c>
      <c r="R92">
        <f t="shared" si="23"/>
        <v>36</v>
      </c>
    </row>
    <row r="93" spans="1:18" x14ac:dyDescent="0.25">
      <c r="A93" t="s">
        <v>169</v>
      </c>
      <c r="B93">
        <f>VinMin/(Lleak*10^-6+Lch*10^-6)*(1/(FswVinminVoutmaxIoutMVout*10^3))*DutyACFVinminVoutmaxIoutVoutMax+InegVinminVoutmax</f>
        <v>2.5005197598383107</v>
      </c>
      <c r="C93" t="s">
        <v>11</v>
      </c>
      <c r="J93">
        <v>0.76</v>
      </c>
      <c r="K93">
        <f t="shared" si="16"/>
        <v>2.4700000000000002</v>
      </c>
      <c r="L93">
        <f t="shared" si="17"/>
        <v>10.552536762484003</v>
      </c>
      <c r="M93">
        <f t="shared" si="18"/>
        <v>0.23248399999999986</v>
      </c>
      <c r="N93">
        <f t="shared" si="19"/>
        <v>0.90587692307692314</v>
      </c>
      <c r="O93">
        <f t="shared" si="20"/>
        <v>0.48745500246130369</v>
      </c>
      <c r="P93">
        <f t="shared" si="21"/>
        <v>246.31835804889957</v>
      </c>
      <c r="Q93">
        <f t="shared" si="22"/>
        <v>1.3221971048597061E-4</v>
      </c>
      <c r="R93">
        <f t="shared" si="23"/>
        <v>36</v>
      </c>
    </row>
    <row r="94" spans="1:18" x14ac:dyDescent="0.25">
      <c r="A94" t="s">
        <v>168</v>
      </c>
      <c r="B94">
        <f>SQRT(DutyACFVinminVoutmaxIoutVoutMax*(IpkACFVinminVoutmaxIoutVoutMax^2+IpkACFVinminVoutmaxIoutVoutMax*InegVinminVoutmax+InegVinminVoutmax^2)/3)</f>
        <v>0.99651832671974894</v>
      </c>
      <c r="C94" t="s">
        <v>11</v>
      </c>
      <c r="J94">
        <v>0.8</v>
      </c>
      <c r="K94">
        <f t="shared" si="16"/>
        <v>2.6</v>
      </c>
      <c r="L94">
        <f t="shared" si="17"/>
        <v>10.022672336261341</v>
      </c>
      <c r="M94">
        <f t="shared" si="18"/>
        <v>0.23639999999999989</v>
      </c>
      <c r="N94">
        <f t="shared" si="19"/>
        <v>0.90907692307692312</v>
      </c>
      <c r="O94">
        <f t="shared" si="20"/>
        <v>0.48756940394671072</v>
      </c>
      <c r="P94">
        <f t="shared" si="21"/>
        <v>236.53266844960137</v>
      </c>
      <c r="Q94">
        <f t="shared" si="22"/>
        <v>1.3492705045830034E-4</v>
      </c>
      <c r="R94">
        <f t="shared" si="23"/>
        <v>35</v>
      </c>
    </row>
    <row r="95" spans="1:18" x14ac:dyDescent="0.25">
      <c r="A95" t="s">
        <v>166</v>
      </c>
      <c r="B95">
        <f>2*Pout/EffFL*((1/(4*IF(VinMinAC&lt;180,60,50))+ASIN((VinMin-VinRip)/VinMin)/(2*PI()*IF(VinMinAC&lt;180,60,50)))/(VinMin^2-(VinMin-VinRip)^2))*10^6</f>
        <v>114.92796280224078</v>
      </c>
      <c r="C95" t="s">
        <v>56</v>
      </c>
      <c r="J95">
        <v>0.84</v>
      </c>
      <c r="K95">
        <f t="shared" si="16"/>
        <v>2.73</v>
      </c>
      <c r="L95">
        <f t="shared" si="17"/>
        <v>9.5432711887265516</v>
      </c>
      <c r="M95">
        <f t="shared" si="18"/>
        <v>0.23948399999999995</v>
      </c>
      <c r="N95">
        <f t="shared" si="19"/>
        <v>0.9122769230769231</v>
      </c>
      <c r="O95">
        <f t="shared" si="20"/>
        <v>0.48768380543211776</v>
      </c>
      <c r="P95">
        <f t="shared" si="21"/>
        <v>227.54637353784366</v>
      </c>
      <c r="Q95">
        <f t="shared" si="22"/>
        <v>1.375655323426739E-4</v>
      </c>
      <c r="R95">
        <f t="shared" si="23"/>
        <v>35</v>
      </c>
    </row>
    <row r="96" spans="1:18" x14ac:dyDescent="0.25">
      <c r="A96" t="s">
        <v>167</v>
      </c>
      <c r="B96">
        <f>DissFact/(2*PI()*FswACFMinChRt*10^3*CbulkCh*10^-6)*10^3</f>
        <v>1.4210262776062081</v>
      </c>
      <c r="C96" t="s">
        <v>63</v>
      </c>
      <c r="J96">
        <v>0.88</v>
      </c>
      <c r="K96">
        <f t="shared" si="16"/>
        <v>2.86</v>
      </c>
      <c r="L96">
        <f t="shared" si="17"/>
        <v>9.1074519636949258</v>
      </c>
      <c r="M96">
        <f t="shared" si="18"/>
        <v>0.24173600000000001</v>
      </c>
      <c r="N96">
        <f t="shared" si="19"/>
        <v>0.91547692307692308</v>
      </c>
      <c r="O96">
        <f t="shared" si="20"/>
        <v>0.48779820691752479</v>
      </c>
      <c r="P96">
        <f t="shared" si="21"/>
        <v>219.26611901447379</v>
      </c>
      <c r="Q96">
        <f t="shared" si="22"/>
        <v>1.4013893976650254E-4</v>
      </c>
      <c r="R96">
        <f t="shared" si="23"/>
        <v>35</v>
      </c>
    </row>
    <row r="97" spans="1:18" x14ac:dyDescent="0.25">
      <c r="A97" t="s">
        <v>172</v>
      </c>
      <c r="B97">
        <f>VinMax/0.95</f>
        <v>394.49115160933707</v>
      </c>
      <c r="C97" t="s">
        <v>21</v>
      </c>
      <c r="J97">
        <v>0.92</v>
      </c>
      <c r="K97">
        <f t="shared" si="16"/>
        <v>2.99</v>
      </c>
      <c r="L97">
        <f t="shared" si="17"/>
        <v>8.7095300625790948</v>
      </c>
      <c r="M97">
        <f t="shared" si="18"/>
        <v>0.24315599999999976</v>
      </c>
      <c r="N97">
        <f t="shared" si="19"/>
        <v>0.91867692307692317</v>
      </c>
      <c r="O97">
        <f t="shared" si="20"/>
        <v>0.48791260840293177</v>
      </c>
      <c r="P97">
        <f t="shared" si="21"/>
        <v>211.61249947664172</v>
      </c>
      <c r="Q97">
        <f t="shared" si="22"/>
        <v>1.4265070878586371E-4</v>
      </c>
      <c r="R97">
        <f t="shared" si="23"/>
        <v>35</v>
      </c>
    </row>
    <row r="98" spans="1:18" x14ac:dyDescent="0.25">
      <c r="A98" t="s">
        <v>179</v>
      </c>
      <c r="B98" s="4">
        <f>1919*(RtCh)^-0.502</f>
        <v>190.14065022492201</v>
      </c>
      <c r="C98" t="s">
        <v>180</v>
      </c>
      <c r="J98">
        <v>0.96</v>
      </c>
      <c r="K98">
        <f t="shared" si="16"/>
        <v>3.12</v>
      </c>
      <c r="L98">
        <f t="shared" si="17"/>
        <v>8.3447683198895799</v>
      </c>
      <c r="M98">
        <f t="shared" si="18"/>
        <v>0.24374399999999979</v>
      </c>
      <c r="N98">
        <f t="shared" si="19"/>
        <v>0.92187692307692315</v>
      </c>
      <c r="O98">
        <f t="shared" si="20"/>
        <v>0.4880270098883388</v>
      </c>
      <c r="P98">
        <f t="shared" si="21"/>
        <v>204.5175562811543</v>
      </c>
      <c r="Q98">
        <f t="shared" si="22"/>
        <v>1.4510397005067178E-4</v>
      </c>
      <c r="R98">
        <f t="shared" si="23"/>
        <v>35</v>
      </c>
    </row>
    <row r="99" spans="1:18" x14ac:dyDescent="0.25">
      <c r="A99" t="s">
        <v>184</v>
      </c>
      <c r="B99">
        <v>800</v>
      </c>
      <c r="C99" t="s">
        <v>180</v>
      </c>
      <c r="J99">
        <v>1</v>
      </c>
      <c r="K99">
        <f t="shared" si="16"/>
        <v>3.25</v>
      </c>
      <c r="L99">
        <f t="shared" si="17"/>
        <v>8.0091875166152278</v>
      </c>
      <c r="M99">
        <f t="shared" si="18"/>
        <v>0.24349999999999983</v>
      </c>
      <c r="N99">
        <f t="shared" si="19"/>
        <v>0.92507692307692313</v>
      </c>
      <c r="O99">
        <f t="shared" si="20"/>
        <v>0.48814141137374584</v>
      </c>
      <c r="P99">
        <f t="shared" si="21"/>
        <v>197.92279325619737</v>
      </c>
      <c r="Q99">
        <f t="shared" si="22"/>
        <v>1.4750158482482536E-4</v>
      </c>
      <c r="R99">
        <f t="shared" si="23"/>
        <v>35</v>
      </c>
    </row>
    <row r="100" spans="1:18" x14ac:dyDescent="0.25">
      <c r="A100" t="s">
        <v>181</v>
      </c>
      <c r="B100">
        <f>SQRT(2*IoutMax*Lch*10^-6*(VoutMin/(FswDCMMax*10^3*VinMax^2)))</f>
        <v>7.1598739475510469E-7</v>
      </c>
      <c r="C100" t="s">
        <v>111</v>
      </c>
    </row>
    <row r="101" spans="1:18" x14ac:dyDescent="0.25">
      <c r="A101" t="s">
        <v>182</v>
      </c>
      <c r="B101">
        <f>TonDCMVinmaxVoutminIoutmax*(VoutMin*Nch+VinMax)/(VoutMin*Nch)</f>
        <v>9.6602593047542645E-6</v>
      </c>
      <c r="C101" t="s">
        <v>111</v>
      </c>
    </row>
    <row r="102" spans="1:18" x14ac:dyDescent="0.25">
      <c r="A102" t="s">
        <v>183</v>
      </c>
      <c r="B102">
        <f>1/(FswDCMMax*10^3)</f>
        <v>1.9999999999999998E-5</v>
      </c>
      <c r="C102" t="s">
        <v>111</v>
      </c>
    </row>
    <row r="103" spans="1:18" x14ac:dyDescent="0.25">
      <c r="A103" t="s">
        <v>177</v>
      </c>
      <c r="B103">
        <f>IF(IoutMax*8*RSCh*10^-3*TswDCMMax/(ToffDCMVinmaxVoutminIoutmax*Nch)&lt;=VpkFrz*10^-3,IpkFrz*10^-3/(RSCh*10^-3),(IoutMax*8*RSCh*10^-3*TswDCMMax/(ToffDCMVinmaxVoutminIoutmax*Nch))/(4*RSCh*10^-3))</f>
        <v>2.0703378003690918</v>
      </c>
      <c r="C103" t="s">
        <v>11</v>
      </c>
    </row>
    <row r="104" spans="1:18" x14ac:dyDescent="0.25">
      <c r="A104" t="s">
        <v>178</v>
      </c>
      <c r="B104">
        <f>VoutMin*VoutRip/IpkMarVinmaxVoutminIoutMax*1000</f>
        <v>24.150648261885667</v>
      </c>
      <c r="C104" t="s">
        <v>63</v>
      </c>
    </row>
    <row r="105" spans="1:18" x14ac:dyDescent="0.25">
      <c r="A105" t="s">
        <v>186</v>
      </c>
      <c r="B105">
        <f>ImpedCOUTMAXVinmaxVoutminIoutMax/2</f>
        <v>12.075324130942834</v>
      </c>
      <c r="C105" t="s">
        <v>63</v>
      </c>
    </row>
    <row r="106" spans="1:18" x14ac:dyDescent="0.25">
      <c r="A106" t="s">
        <v>185</v>
      </c>
      <c r="B106">
        <v>31.25</v>
      </c>
      <c r="C106" t="s">
        <v>6</v>
      </c>
    </row>
    <row r="107" spans="1:18" x14ac:dyDescent="0.25">
      <c r="A107" t="s">
        <v>193</v>
      </c>
      <c r="B107">
        <f>IpkMarVinmaxVoutminIoutMax*ToffDCMVinmaxVoutminIoutmax/(VoutRip*VoutMin)*10^6</f>
        <v>399.99999999999983</v>
      </c>
      <c r="C107" t="s">
        <v>56</v>
      </c>
    </row>
    <row r="108" spans="1:18" x14ac:dyDescent="0.25">
      <c r="A108" t="s">
        <v>194</v>
      </c>
      <c r="B108">
        <f>1/(2*PI()*FswDCMMax*10^3*ImpedCOUTMAXVinmaxVoutminIoutMax*10^-3)*10^6</f>
        <v>131.80179791949698</v>
      </c>
      <c r="C108" t="s">
        <v>56</v>
      </c>
    </row>
    <row r="109" spans="1:18" x14ac:dyDescent="0.25">
      <c r="A109" t="s">
        <v>196</v>
      </c>
      <c r="B109">
        <f>CoutCountC*CoutCValue</f>
        <v>44</v>
      </c>
      <c r="C109" t="s">
        <v>56</v>
      </c>
    </row>
    <row r="110" spans="1:18" x14ac:dyDescent="0.25">
      <c r="A110" t="s">
        <v>197</v>
      </c>
      <c r="B110">
        <f>CoutCountE*CoutEValue</f>
        <v>940</v>
      </c>
      <c r="C110" t="s">
        <v>56</v>
      </c>
    </row>
    <row r="111" spans="1:18" x14ac:dyDescent="0.25">
      <c r="A111" t="s">
        <v>201</v>
      </c>
      <c r="B111">
        <v>5.9999999999999995E-4</v>
      </c>
      <c r="C111" t="s">
        <v>111</v>
      </c>
    </row>
    <row r="112" spans="1:18" x14ac:dyDescent="0.25">
      <c r="A112" t="s">
        <v>202</v>
      </c>
      <c r="B112">
        <f>((FSWMin*10^3+(FswDCMMax-FSWMin)*10^3/2)*TDCM+(FswDCMMax*10^3+(FswACFMinChRt-FswDCMMax)*10^3/2)*(Tsoftstart*10^-3-TDCM))/(Tsoftstart*10^-3)/1000</f>
        <v>73.710937500000014</v>
      </c>
      <c r="C112" t="s">
        <v>6</v>
      </c>
    </row>
    <row r="113" spans="1:6" x14ac:dyDescent="0.25">
      <c r="A113" t="s">
        <v>203</v>
      </c>
      <c r="B113">
        <f>(FswDCMMax*10^3+(FswACFMinChRt-FswDCMMax)*10^3/2)*(Tsoftstart*10^-3-TDCM)/(Tsoftstart*10^-3)/1000</f>
        <v>72.187500000000014</v>
      </c>
      <c r="C113" t="s">
        <v>6</v>
      </c>
      <c r="F113" t="s">
        <v>562</v>
      </c>
    </row>
    <row r="114" spans="1:6" x14ac:dyDescent="0.25">
      <c r="A114" t="s">
        <v>207</v>
      </c>
      <c r="B114">
        <f>FLSAVG*10^3*QGLS*10^-9+FHSAVG*10^3*QGHS*10^-9</f>
        <v>6.5654296875000007E-3</v>
      </c>
      <c r="C114" t="s">
        <v>11</v>
      </c>
      <c r="F114" t="s">
        <v>563</v>
      </c>
    </row>
    <row r="115" spans="1:6" x14ac:dyDescent="0.25">
      <c r="A115" t="s">
        <v>208</v>
      </c>
      <c r="B115">
        <f>(0.0048*FHSAVG-0.179)*10^-3</f>
        <v>1.6750000000000003E-4</v>
      </c>
      <c r="C115" t="s">
        <v>11</v>
      </c>
    </row>
    <row r="116" spans="1:6" x14ac:dyDescent="0.25">
      <c r="A116" t="s">
        <v>209</v>
      </c>
      <c r="B116">
        <v>4.2700000000000004E-3</v>
      </c>
      <c r="C116" t="s">
        <v>11</v>
      </c>
    </row>
    <row r="117" spans="1:6" x14ac:dyDescent="0.25">
      <c r="A117" t="s">
        <v>210</v>
      </c>
      <c r="B117">
        <f>ICC1568P+ICCQGTot+IdrvExt+IDriver*10^-3+IVCCAdditional*10^-3</f>
        <v>1.3002929687500001E-2</v>
      </c>
      <c r="C117" t="s">
        <v>11</v>
      </c>
    </row>
    <row r="118" spans="1:6" x14ac:dyDescent="0.25">
      <c r="A118" t="s">
        <v>212</v>
      </c>
      <c r="B118">
        <v>15.5</v>
      </c>
      <c r="C118" t="s">
        <v>21</v>
      </c>
    </row>
    <row r="119" spans="1:6" x14ac:dyDescent="0.25">
      <c r="A119" t="s">
        <v>213</v>
      </c>
      <c r="B119">
        <v>9</v>
      </c>
      <c r="C119" t="s">
        <v>21</v>
      </c>
    </row>
    <row r="120" spans="1:6" x14ac:dyDescent="0.25">
      <c r="A120" t="s">
        <v>211</v>
      </c>
      <c r="B120">
        <f>Isoftstart*Tsoftstart*10^-3/(VbiasVCC-Vccoff)*10^6</f>
        <v>30.151721014492757</v>
      </c>
      <c r="C120" t="s">
        <v>56</v>
      </c>
    </row>
    <row r="121" spans="1:6" x14ac:dyDescent="0.25">
      <c r="A121" t="s">
        <v>220</v>
      </c>
      <c r="B121">
        <f>(CvccRec/(-0.6702*VbiasVCC/VCvcc+1.0284))/CvccCDerate</f>
        <v>52.062008270011319</v>
      </c>
      <c r="C121" t="s">
        <v>56</v>
      </c>
    </row>
    <row r="122" spans="1:6" x14ac:dyDescent="0.25">
      <c r="A122" t="s">
        <v>221</v>
      </c>
      <c r="B122">
        <f>CvccRec/CvccEDerate</f>
        <v>37.689651268115945</v>
      </c>
      <c r="C122" t="s">
        <v>56</v>
      </c>
    </row>
    <row r="123" spans="1:6" x14ac:dyDescent="0.25">
      <c r="A123" t="s">
        <v>234</v>
      </c>
      <c r="B123">
        <f>(Qgtot*10^-9+(Igss*10^-6+Boot_IQ*10^-6+Dbootleak*10^-9)*1/(FswACFMinChRt*10^3)+Qlevelshift*10^-9)*10^9</f>
        <v>48.000100000000003</v>
      </c>
      <c r="C123" t="s">
        <v>206</v>
      </c>
    </row>
    <row r="124" spans="1:6" x14ac:dyDescent="0.25">
      <c r="A124" t="s">
        <v>235</v>
      </c>
      <c r="B124">
        <f>QtotBootCap/Vdrv</f>
        <v>4.8000100000000003</v>
      </c>
      <c r="C124" t="s">
        <v>236</v>
      </c>
    </row>
    <row r="125" spans="1:6" x14ac:dyDescent="0.25">
      <c r="A125" t="s">
        <v>238</v>
      </c>
      <c r="B125">
        <f>QtotBootCap/Bootripple</f>
        <v>240.00050000000002</v>
      </c>
      <c r="C125" t="s">
        <v>236</v>
      </c>
    </row>
    <row r="126" spans="1:6" x14ac:dyDescent="0.25">
      <c r="A126" t="s">
        <v>242</v>
      </c>
      <c r="B126">
        <v>5</v>
      </c>
      <c r="C126" t="s">
        <v>243</v>
      </c>
      <c r="D126" t="s">
        <v>469</v>
      </c>
    </row>
    <row r="127" spans="1:6" x14ac:dyDescent="0.25">
      <c r="A127" t="s">
        <v>244</v>
      </c>
      <c r="B127">
        <f>PNoLoadBoot/VoutMin*10^-3</f>
        <v>1E-3</v>
      </c>
      <c r="C127" t="s">
        <v>11</v>
      </c>
      <c r="D127" t="s">
        <v>470</v>
      </c>
    </row>
    <row r="128" spans="1:6" x14ac:dyDescent="0.25">
      <c r="A128" t="s">
        <v>240</v>
      </c>
      <c r="B128">
        <f>VoutMin*Ibootish*2/(Lch*10^-6*((IpkFrz*10^-3/(RSCh*10^-3))^2))</f>
        <v>144.06179502385785</v>
      </c>
      <c r="C128" t="s">
        <v>245</v>
      </c>
    </row>
    <row r="129" spans="1:35" x14ac:dyDescent="0.25">
      <c r="A129" t="s">
        <v>239</v>
      </c>
      <c r="B129">
        <f>1/FneededVoutminIbootish</f>
        <v>6.9414656386475784E-3</v>
      </c>
      <c r="C129" t="s">
        <v>111</v>
      </c>
    </row>
    <row r="130" spans="1:35" x14ac:dyDescent="0.25">
      <c r="A130" t="s">
        <v>241</v>
      </c>
      <c r="B130">
        <f>Boot_IQ*10^-6*SkiptimeVoutminIbootish/(VCC-Vbootoff)*10^9</f>
        <v>148.74569225673383</v>
      </c>
      <c r="C130" t="s">
        <v>236</v>
      </c>
    </row>
    <row r="131" spans="1:35" x14ac:dyDescent="0.25">
      <c r="A131" t="s">
        <v>237</v>
      </c>
      <c r="B131">
        <f>CbootskipVoutminIbootish*10^-9/(-0.6702*VCC/VrateCboot+1.0284)/0.8*10^9</f>
        <v>224.73483129175102</v>
      </c>
      <c r="C131" t="s">
        <v>236</v>
      </c>
    </row>
    <row r="132" spans="1:35" x14ac:dyDescent="0.25">
      <c r="A132" t="s">
        <v>259</v>
      </c>
      <c r="B132">
        <f>(VinMin*DutyACFVinminVoutmaxIoutVoutMax/(Lch*10^-6*FswVinminVoutmaxIoutMVout*10^3)*SQRT(DutyACFVinminVoutmaxIoutVoutMax/3))^2*RSCh*10^-3</f>
        <v>0.28249073012707515</v>
      </c>
      <c r="C132" t="s">
        <v>4</v>
      </c>
    </row>
    <row r="133" spans="1:35" x14ac:dyDescent="0.25">
      <c r="A133" t="s">
        <v>260</v>
      </c>
      <c r="B133">
        <f>ILSSWRMSVinminVoutmaxIoutVoutMax^2*RDSOnLS*10^-3</f>
        <v>0.2969215838710102</v>
      </c>
      <c r="C133" t="s">
        <v>4</v>
      </c>
      <c r="G133" t="s">
        <v>432</v>
      </c>
      <c r="O133" t="s">
        <v>433</v>
      </c>
    </row>
    <row r="134" spans="1:35" x14ac:dyDescent="0.25">
      <c r="A134" t="s">
        <v>264</v>
      </c>
      <c r="B134">
        <f>1/SQRT(Lleak*10^-6*CclampCh*10^-6)</f>
        <v>1414213.5623730952</v>
      </c>
      <c r="G134" t="s">
        <v>421</v>
      </c>
      <c r="H134" t="s">
        <v>429</v>
      </c>
      <c r="I134" t="s">
        <v>426</v>
      </c>
      <c r="J134" t="s">
        <v>430</v>
      </c>
      <c r="K134" t="s">
        <v>428</v>
      </c>
      <c r="L134" t="s">
        <v>427</v>
      </c>
      <c r="M134" t="s">
        <v>431</v>
      </c>
      <c r="O134" t="s">
        <v>421</v>
      </c>
      <c r="P134" t="s">
        <v>438</v>
      </c>
      <c r="Q134" t="s">
        <v>434</v>
      </c>
      <c r="R134" t="s">
        <v>435</v>
      </c>
      <c r="S134" t="s">
        <v>439</v>
      </c>
      <c r="T134" t="s">
        <v>440</v>
      </c>
      <c r="U134" t="s">
        <v>441</v>
      </c>
      <c r="V134" t="s">
        <v>442</v>
      </c>
      <c r="W134" t="s">
        <v>443</v>
      </c>
      <c r="X134" t="s">
        <v>444</v>
      </c>
      <c r="Y134" t="s">
        <v>448</v>
      </c>
      <c r="Z134" t="s">
        <v>447</v>
      </c>
      <c r="AA134" t="s">
        <v>449</v>
      </c>
      <c r="AB134" t="s">
        <v>445</v>
      </c>
      <c r="AC134" t="s">
        <v>446</v>
      </c>
      <c r="AD134" t="s">
        <v>436</v>
      </c>
      <c r="AE134" t="s">
        <v>437</v>
      </c>
      <c r="AF134" t="s">
        <v>471</v>
      </c>
      <c r="AG134" t="s">
        <v>450</v>
      </c>
      <c r="AH134" t="s">
        <v>451</v>
      </c>
      <c r="AI134" t="s">
        <v>452</v>
      </c>
    </row>
    <row r="135" spans="1:35" x14ac:dyDescent="0.25">
      <c r="A135" t="s">
        <v>262</v>
      </c>
      <c r="B135">
        <f>Nch*VoutMax</f>
        <v>120</v>
      </c>
      <c r="C135" t="s">
        <v>21</v>
      </c>
      <c r="F135">
        <f>0</f>
        <v>0</v>
      </c>
      <c r="G135">
        <f t="shared" ref="G135:G166" si="24">IF(VoutMin=VoutMax,VoutMin*(0.8+0.4*F135),VoutMin+(VoutMax-VoutMin)*F135)</f>
        <v>5</v>
      </c>
      <c r="H135">
        <f>BinVoltageVathZener+IF(((Naux1/Nsec*G135)-Vz)*RZ1Ch/(RZ1Ch+RZ2Ch)&gt;0,((Naux1/Nsec*G135)-Vz)*RZ1Ch/(RZ1Ch+RZ2Ch),0)</f>
        <v>7.9999999999999988E-2</v>
      </c>
      <c r="I135">
        <f>IF(H135&lt;0.05,1.04,IF(H135&lt;0.18,1.2,IF(H135&lt;0.22,1.36,IF(H135&lt;0.27,1.52,IF(H135&lt;0.33,1.68,IF(H135&lt;0.39,1.84,IF(H135&lt;0.46,2,IF(H135&lt;0.54,2.16,IF(H135&lt;0.63,2.32,IF(H135&lt;0.74,2.48,IF(H135&lt;0.87,2.64,IF(H135&lt;1.02,2.8,IF(H135&lt;1.19,2.96,IF(H135&lt;1.39,3.12,IF(H135&lt;1.63,3.28)))))))))))))))</f>
        <v>1.2</v>
      </c>
      <c r="J135">
        <f t="shared" ref="J135:J166" si="25">FswDCMMax*10^3*((I135/(FBGain*RSCh*10^-3))^2)*Lch*10^-6/(2*G135)</f>
        <v>0.86400000000000021</v>
      </c>
      <c r="K135">
        <f t="shared" ref="K135:K166" si="26">IF(OR(RNoZ2Ch=0,RNoZ2Ch="DNI"),RNoZ1Ch*IATH*10^-3,BinVoltageVathNoZener+RNoZ1Ch/(RNoZ1Ch+RNoZ2Ch)*Naux1/Nsec*G135)</f>
        <v>7.674695407685099E-2</v>
      </c>
      <c r="L135">
        <f t="shared" ref="L135:L150" si="27">IF(K135&lt;0.05,1.04,IF(K135&lt;0.18,1.2,IF(K135&lt;0.22,1.36,IF(K135&lt;0.27,1.52,IF(K135&lt;0.33,1.68,IF(K135&lt;0.39,1.84,IF(K135&lt;0.46,2,IF(K135&lt;0.54,2.16,IF(K135&lt;0.63,2.32,IF(K135&lt;0.74,2.48,IF(K135&lt;0.87,2.64,IF(K135&lt;1.02,2.8,IF(K135&lt;1.19,2.96,IF(K135&lt;1.39,3.12,IF(K135&lt;1.63,3.28)))))))))))))))</f>
        <v>1.2</v>
      </c>
      <c r="M135">
        <f t="shared" ref="M135:M166" si="28">FswDCMMax*10^3*((L135/(FBGain*RSCh*10^-3))^2)*Lch*10^-6/(2*G135)</f>
        <v>0.86400000000000021</v>
      </c>
      <c r="O135">
        <f t="shared" ref="O135:O166" si="29">IF(VoutMin=VoutMax,VoutMin*(0.8+0.4*F135),VoutMin+(VoutMax-VoutMin)*F135)</f>
        <v>5</v>
      </c>
      <c r="P135">
        <f t="shared" ref="P135:P166" si="30">Naux1/Nsec*O135</f>
        <v>3.75</v>
      </c>
      <c r="Q135">
        <f t="shared" ref="Q135:Q166" si="31">OppCVinmin*10^-6*RoppCh</f>
        <v>1.3719599999999998E-2</v>
      </c>
      <c r="R135">
        <f t="shared" ref="R135:R166" si="32">OppCVinmax*10^-6*RoppCh</f>
        <v>3.1023599999999995E-2</v>
      </c>
      <c r="S135">
        <f t="shared" ref="S135:S166" si="33">-CswTotal*10^-12*(VinMin+Nch*O135)/(Tzvs*10^-9)</f>
        <v>-4.7086680245423201E-2</v>
      </c>
      <c r="T135">
        <f t="shared" ref="T135:T166" si="34">-CswTotal*10^-12*(VinMax+Nch*O135)/(Tzvs*10^-9)</f>
        <v>-0.121180122286421</v>
      </c>
      <c r="U135">
        <f t="shared" ref="U135:U166" si="35">O135*Nch/(O135*Nch+VinMin)+(2*FminACF*10^3*AtoDTrans*Lleak*10^-6/(Nch*EffFL*VinMin))</f>
        <v>0.19100757325840856</v>
      </c>
      <c r="V135">
        <f t="shared" ref="V135:V166" si="36">O135*Nch/(O135*Nch+VinMax)+(2*FminACF*10^3*AtoDTrans*Lleak*10^-6/(Nch*EffFL*VinMax))</f>
        <v>7.4206449939002189E-2</v>
      </c>
      <c r="W135">
        <f t="shared" ref="W135:W166" si="37">10^9*IF(CswTotal*10^-12*(VinMin+O135*Nch)*((1-U135)*Nch)/(AtoDTrans*2)&lt;RiseMax,CswTotal*10^-12*(VinMin+O135*Nch)*((1-U135)*Nch)/(AtoDTrans*2),RiseMax)</f>
        <v>137.133963788221</v>
      </c>
      <c r="X135">
        <f t="shared" ref="X135:X166" si="38">10^9*IF(CswTotal*10^-12*(VinMax+O135*Nch)*((1-V135)*Nch)/(AtoDTrans*2)&lt;RiseMax,CswTotal*10^-12*(VinMax+O135*Nch)*((1-V135)*Nch)/(AtoDTrans*2),RiseMax)</f>
        <v>403.87599219013759</v>
      </c>
      <c r="Y135">
        <f t="shared" ref="Y135:Y166" si="39">(EffFL-Eff4W)/(IoutVoutMax*VoutMax)*AtoDTrans*O135+Eff4W-(EffFL-Eff4W)/(IoutVoutMax*VoutMax)*4</f>
        <v>0.84692307692307689</v>
      </c>
      <c r="Z135">
        <f t="shared" ref="Z135:Z166" si="40">O135*AtoDTrans*(1-Y135)</f>
        <v>0.22961538461538467</v>
      </c>
      <c r="AA135">
        <f>Z135/O135</f>
        <v>4.5923076923076935E-2</v>
      </c>
      <c r="AB135">
        <f t="shared" ref="AB135:AB166" si="41">1/((1/((VinMin*Nch*O135/(Nch*O135+VinMin))/(2*Lch*10^-6*((AtoDTrans+AA135)/((1-Nch*O135/(Nch*O135+VinMin))*Nch)-S135))))+Tzvs*10^-9+W135*10^-9)/1000</f>
        <v>599.91749739126806</v>
      </c>
      <c r="AC135">
        <f t="shared" ref="AC135:AC166" si="42">1/((1/((VinMax*Nch*O135/(Nch*O135+VinMax))/(2*Lch*10^-6*((AtoDTrans+AA135)/((1-Nch*O135/(Nch*O135+VinMax))*Nch)-T135))))+Tzvs*10^-9+X135*10^-9)/1000</f>
        <v>425.72217489981762</v>
      </c>
      <c r="AD135">
        <f t="shared" ref="AD135:AD166" si="43">IF(AB135&lt;FswACFMinChRt,FswACFMinChRt,IF(AB135&lt;FswACFMax,AB135,FswACFMax))</f>
        <v>420.00000000000006</v>
      </c>
      <c r="AE135">
        <f t="shared" ref="AE135:AE166" si="44">IF(AC135&lt;FswACFMinChRt,FswACFMinChRt,IF(AC135&lt;FswACFMax,AC135,FswACFMax))</f>
        <v>420.00000000000006</v>
      </c>
      <c r="AF135">
        <f t="shared" ref="AF135:AF166" si="45">(RDTH2Ch*10^3*P135+IDTH*10^-6*IF(OR(RDTH1Ch="DNI",RDTH1Ch=0),1000000000,RDTH1Ch)*10^3*RDTH2Ch*10^3)/(10^3*(IF(OR(RDTH1Ch="DNI",RDTH1Ch=0),1000000000,RDTH1Ch)+RDTH2Ch))</f>
        <v>0.4306451612903226</v>
      </c>
      <c r="AG135">
        <f t="shared" ref="AG135:AG166" si="46">(RDTH2Ch*10^3*P135+IDTH*10^-6*IF(OR(RDTH1Ch="DNI",RDTH1Ch=0),1000000000,RDTH1Ch)*10^3*RDTH2Ch*10^3)/(10^3*(IF(OR(RDTH1Ch="DNI",RDTH1Ch=0),1000000000,RDTH1Ch)+RDTH2Ch))</f>
        <v>0.4306451612903226</v>
      </c>
      <c r="AH135">
        <f t="shared" ref="AH135:AH166" si="47">(Nch*VinMin*(AF135+Q135-(CompDel*10^-9*FBGain*RSCh*10^-3*VinMin/(Lch*10^-6))-((FBGain*Nch*RSCh*10^-3*VinMin*(Vforward+O135))/(2*AD135*10^3*Lch*10^-6*(VinMin+Nch*(Vforward+O135))))))/(FBGain*RSCh*10^-3*(VinMin+Nch*(Vforward+O135)))</f>
        <v>0.75641971626924864</v>
      </c>
      <c r="AI135">
        <f t="shared" ref="AI135:AI166" si="48">(Nch*VinMax*(AG135+R135-(CompDel*10^-9*FBGain*RSCh*10^-3*VinMax/(Lch*10^-6))-((FBGain*Nch*RSCh*10^-3*VinMax*(Vforward+O135))/(2*AE135*10^3*Lch*10^-6*(VinMax+Nch*(Vforward+O135))))))/(FBGain*RSCh*10^-3*(VinMax+Nch*(Vforward+O135)))</f>
        <v>0.25315948131952809</v>
      </c>
    </row>
    <row r="136" spans="1:35" x14ac:dyDescent="0.25">
      <c r="A136" t="s">
        <v>263</v>
      </c>
      <c r="B136">
        <f>SQRT(Lleak*10^-6/(CclampCh*10^-6))</f>
        <v>3.5355339059327378</v>
      </c>
      <c r="F136">
        <f>0.01</f>
        <v>0.01</v>
      </c>
      <c r="G136">
        <f t="shared" si="24"/>
        <v>5.15</v>
      </c>
      <c r="H136">
        <f t="shared" ref="H136:H166" si="49">BinVoltageVathZener+IF(((Naux1/Nsec*G136)-Vz)*RZ1Ch/(RZ1Ch+RZ2Ch)&gt;0,((Naux1/Nsec*G136)-Vz)*RZ1Ch/(RZ1Ch+RZ2Ch),0)</f>
        <v>7.9999999999999988E-2</v>
      </c>
      <c r="I136">
        <f t="shared" ref="I136:I150" si="50">IF(H136&lt;0.05,1.04,IF(H136&lt;0.18,1.2,IF(H136&lt;0.22,1.36,IF(H136&lt;0.27,1.52,IF(H136&lt;0.33,1.68,IF(H136&lt;0.39,1.84,IF(H136&lt;0.46,2,IF(H136&lt;0.54,2.16,IF(H136&lt;0.63,2.32,IF(H136&lt;0.74,2.48,IF(H136&lt;0.87,2.64,IF(H136&lt;1.02,2.8,IF(H136&lt;1.19,2.96,IF(H136&lt;1.39,3.12,IF(H136&lt;1.63,3.28)))))))))))))))</f>
        <v>1.2</v>
      </c>
      <c r="J136">
        <f t="shared" si="25"/>
        <v>0.83883495145631082</v>
      </c>
      <c r="K136">
        <f t="shared" si="26"/>
        <v>7.8539362699156512E-2</v>
      </c>
      <c r="L136">
        <f t="shared" si="27"/>
        <v>1.2</v>
      </c>
      <c r="M136">
        <f t="shared" si="28"/>
        <v>0.83883495145631082</v>
      </c>
      <c r="O136">
        <f t="shared" si="29"/>
        <v>5.15</v>
      </c>
      <c r="P136">
        <f t="shared" si="30"/>
        <v>3.8625000000000003</v>
      </c>
      <c r="Q136">
        <f t="shared" si="31"/>
        <v>1.3719599999999998E-2</v>
      </c>
      <c r="R136">
        <f t="shared" si="32"/>
        <v>3.1023599999999995E-2</v>
      </c>
      <c r="S136">
        <f t="shared" si="33"/>
        <v>-4.7356124689867649E-2</v>
      </c>
      <c r="T136">
        <f t="shared" si="34"/>
        <v>-0.12144956673086543</v>
      </c>
      <c r="U136">
        <f t="shared" si="35"/>
        <v>0.19561203890394219</v>
      </c>
      <c r="V136">
        <f t="shared" si="36"/>
        <v>7.6260587259421989E-2</v>
      </c>
      <c r="W136">
        <f t="shared" si="37"/>
        <v>137.13370770489598</v>
      </c>
      <c r="X136">
        <f t="shared" si="38"/>
        <v>403.87590521844226</v>
      </c>
      <c r="Y136">
        <f t="shared" si="39"/>
        <v>0.84697846153846157</v>
      </c>
      <c r="Z136">
        <f t="shared" si="40"/>
        <v>0.2364182769230769</v>
      </c>
      <c r="AA136">
        <f t="shared" ref="AA136:AA199" si="51">Z136/O136</f>
        <v>4.5906461538461535E-2</v>
      </c>
      <c r="AB136">
        <f t="shared" si="41"/>
        <v>607.5974976349919</v>
      </c>
      <c r="AC136">
        <f t="shared" si="42"/>
        <v>432.97383038722012</v>
      </c>
      <c r="AD136">
        <f t="shared" si="43"/>
        <v>420.00000000000006</v>
      </c>
      <c r="AE136">
        <f t="shared" si="44"/>
        <v>420.00000000000006</v>
      </c>
      <c r="AF136">
        <f t="shared" si="45"/>
        <v>0.43427419354838709</v>
      </c>
      <c r="AG136">
        <f t="shared" si="46"/>
        <v>0.43427419354838709</v>
      </c>
      <c r="AH136">
        <f t="shared" si="47"/>
        <v>0.74156697015564021</v>
      </c>
      <c r="AI136">
        <f t="shared" si="48"/>
        <v>0.23038108187966128</v>
      </c>
    </row>
    <row r="137" spans="1:35" x14ac:dyDescent="0.25">
      <c r="A137" t="s">
        <v>266</v>
      </c>
      <c r="B137">
        <f>1/(FswVinminVoutmaxIoutMVout*10^3)*(1-DutyACFVinminVoutmaxIoutVoutMax)-Tzvs*10^-9-RiseTimeVinminVoutmaxIoutVoutMax*10^-9</f>
        <v>2.2003193824601817E-6</v>
      </c>
      <c r="C137" t="s">
        <v>111</v>
      </c>
      <c r="F137">
        <v>0.02</v>
      </c>
      <c r="G137">
        <f t="shared" si="24"/>
        <v>5.3</v>
      </c>
      <c r="H137">
        <f t="shared" si="49"/>
        <v>7.9999999999999988E-2</v>
      </c>
      <c r="I137">
        <f t="shared" si="50"/>
        <v>1.2</v>
      </c>
      <c r="J137">
        <f t="shared" si="25"/>
        <v>0.81509433962264177</v>
      </c>
      <c r="K137">
        <f t="shared" si="26"/>
        <v>8.0331771321462048E-2</v>
      </c>
      <c r="L137">
        <f t="shared" si="27"/>
        <v>1.2</v>
      </c>
      <c r="M137">
        <f t="shared" si="28"/>
        <v>0.81509433962264177</v>
      </c>
      <c r="O137">
        <f t="shared" si="29"/>
        <v>5.3</v>
      </c>
      <c r="P137">
        <f t="shared" si="30"/>
        <v>3.9749999999999996</v>
      </c>
      <c r="Q137">
        <f t="shared" si="31"/>
        <v>1.3719599999999998E-2</v>
      </c>
      <c r="R137">
        <f t="shared" si="32"/>
        <v>3.1023599999999995E-2</v>
      </c>
      <c r="S137">
        <f t="shared" si="33"/>
        <v>-4.7625569134312096E-2</v>
      </c>
      <c r="T137">
        <f t="shared" si="34"/>
        <v>-0.12171901117530989</v>
      </c>
      <c r="U137">
        <f t="shared" si="35"/>
        <v>0.2001644044817863</v>
      </c>
      <c r="V137">
        <f t="shared" si="36"/>
        <v>7.8305630258687337E-2</v>
      </c>
      <c r="W137">
        <f t="shared" si="37"/>
        <v>137.13345162157097</v>
      </c>
      <c r="X137">
        <f t="shared" si="38"/>
        <v>403.87581824674709</v>
      </c>
      <c r="Y137">
        <f t="shared" si="39"/>
        <v>0.84703384615384614</v>
      </c>
      <c r="Z137">
        <f t="shared" si="40"/>
        <v>0.24321618461538461</v>
      </c>
      <c r="AA137">
        <f t="shared" si="51"/>
        <v>4.5889846153846156E-2</v>
      </c>
      <c r="AB137">
        <f t="shared" si="41"/>
        <v>614.9981875006016</v>
      </c>
      <c r="AC137">
        <f t="shared" si="42"/>
        <v>440.04235969738511</v>
      </c>
      <c r="AD137">
        <f t="shared" si="43"/>
        <v>420.00000000000006</v>
      </c>
      <c r="AE137">
        <f t="shared" si="44"/>
        <v>420.00000000000006</v>
      </c>
      <c r="AF137">
        <f t="shared" si="45"/>
        <v>0.43790322580645163</v>
      </c>
      <c r="AG137">
        <f t="shared" si="46"/>
        <v>0.43790322580645163</v>
      </c>
      <c r="AH137">
        <f t="shared" si="47"/>
        <v>0.72719809801183177</v>
      </c>
      <c r="AI137">
        <f t="shared" si="48"/>
        <v>0.20789053374931937</v>
      </c>
    </row>
    <row r="138" spans="1:35" x14ac:dyDescent="0.25">
      <c r="A138" t="s">
        <v>267</v>
      </c>
      <c r="B138">
        <f>IpkACFVinminVoutmaxIoutVoutMax^2*(2*Wclamp*TevalVinminVoutmaxIoutMVout+SIN(2*TevalVinminVoutmaxIoutMVout*Wclamp))/(4*Wclamp)</f>
        <v>6.8128627656859044E-6</v>
      </c>
      <c r="C138" t="s">
        <v>268</v>
      </c>
      <c r="F138">
        <v>0.03</v>
      </c>
      <c r="G138">
        <f t="shared" si="24"/>
        <v>5.45</v>
      </c>
      <c r="H138">
        <f t="shared" si="49"/>
        <v>7.9999999999999988E-2</v>
      </c>
      <c r="I138">
        <f t="shared" si="50"/>
        <v>1.2</v>
      </c>
      <c r="J138">
        <f t="shared" si="25"/>
        <v>0.79266055045871575</v>
      </c>
      <c r="K138">
        <f t="shared" si="26"/>
        <v>8.2124179943767583E-2</v>
      </c>
      <c r="L138">
        <f t="shared" si="27"/>
        <v>1.2</v>
      </c>
      <c r="M138">
        <f t="shared" si="28"/>
        <v>0.79266055045871575</v>
      </c>
      <c r="O138">
        <f t="shared" si="29"/>
        <v>5.45</v>
      </c>
      <c r="P138">
        <f t="shared" si="30"/>
        <v>4.0875000000000004</v>
      </c>
      <c r="Q138">
        <f t="shared" si="31"/>
        <v>1.3719599999999998E-2</v>
      </c>
      <c r="R138">
        <f t="shared" si="32"/>
        <v>3.1023599999999995E-2</v>
      </c>
      <c r="S138">
        <f t="shared" si="33"/>
        <v>-4.7895013578756536E-2</v>
      </c>
      <c r="T138">
        <f t="shared" si="34"/>
        <v>-0.12198845561975433</v>
      </c>
      <c r="U138">
        <f t="shared" si="35"/>
        <v>0.20466554929477934</v>
      </c>
      <c r="V138">
        <f t="shared" si="36"/>
        <v>8.0341639198590248E-2</v>
      </c>
      <c r="W138">
        <f t="shared" si="37"/>
        <v>137.13319553824593</v>
      </c>
      <c r="X138">
        <f t="shared" si="38"/>
        <v>403.87573127505169</v>
      </c>
      <c r="Y138">
        <f t="shared" si="39"/>
        <v>0.84708923076923071</v>
      </c>
      <c r="Z138">
        <f t="shared" si="40"/>
        <v>0.25000910769230777</v>
      </c>
      <c r="AA138">
        <f t="shared" si="51"/>
        <v>4.5873230769230784E-2</v>
      </c>
      <c r="AB138">
        <f t="shared" si="41"/>
        <v>622.13218223362662</v>
      </c>
      <c r="AC138">
        <f t="shared" si="42"/>
        <v>446.93437813684898</v>
      </c>
      <c r="AD138">
        <f t="shared" si="43"/>
        <v>420.00000000000006</v>
      </c>
      <c r="AE138">
        <f t="shared" si="44"/>
        <v>420.00000000000006</v>
      </c>
      <c r="AF138">
        <f t="shared" si="45"/>
        <v>0.44153225806451613</v>
      </c>
      <c r="AG138">
        <f t="shared" si="46"/>
        <v>0.44153225806451613</v>
      </c>
      <c r="AH138">
        <f t="shared" si="47"/>
        <v>0.71329963334588742</v>
      </c>
      <c r="AI138">
        <f t="shared" si="48"/>
        <v>0.18568469312650809</v>
      </c>
    </row>
    <row r="139" spans="1:35" x14ac:dyDescent="0.25">
      <c r="A139" t="s">
        <v>265</v>
      </c>
      <c r="B139">
        <f>SQRT(FswVinminVoutmaxIoutMVout*10^3*IntegralISWRMS)</f>
        <v>1.1613691712566929</v>
      </c>
      <c r="C139" t="s">
        <v>11</v>
      </c>
      <c r="F139">
        <v>0.04</v>
      </c>
      <c r="G139">
        <f t="shared" si="24"/>
        <v>5.6</v>
      </c>
      <c r="H139">
        <f t="shared" si="49"/>
        <v>7.9999999999999988E-2</v>
      </c>
      <c r="I139">
        <f t="shared" si="50"/>
        <v>1.2</v>
      </c>
      <c r="J139">
        <f t="shared" si="25"/>
        <v>0.77142857142857169</v>
      </c>
      <c r="K139">
        <f t="shared" si="26"/>
        <v>8.3916588566073105E-2</v>
      </c>
      <c r="L139">
        <f t="shared" si="27"/>
        <v>1.2</v>
      </c>
      <c r="M139">
        <f t="shared" si="28"/>
        <v>0.77142857142857169</v>
      </c>
      <c r="O139">
        <f t="shared" si="29"/>
        <v>5.6</v>
      </c>
      <c r="P139">
        <f t="shared" si="30"/>
        <v>4.1999999999999993</v>
      </c>
      <c r="Q139">
        <f t="shared" si="31"/>
        <v>1.3719599999999998E-2</v>
      </c>
      <c r="R139">
        <f t="shared" si="32"/>
        <v>3.1023599999999995E-2</v>
      </c>
      <c r="S139">
        <f t="shared" si="33"/>
        <v>-4.8164458023200983E-2</v>
      </c>
      <c r="T139">
        <f t="shared" si="34"/>
        <v>-0.12225790006419876</v>
      </c>
      <c r="U139">
        <f t="shared" si="35"/>
        <v>0.20911633296956877</v>
      </c>
      <c r="V139">
        <f t="shared" si="36"/>
        <v>8.2368673809678258E-2</v>
      </c>
      <c r="W139">
        <f t="shared" si="37"/>
        <v>137.13293945492089</v>
      </c>
      <c r="X139">
        <f t="shared" si="38"/>
        <v>403.8756443033563</v>
      </c>
      <c r="Y139">
        <f t="shared" si="39"/>
        <v>0.84714461538461538</v>
      </c>
      <c r="Z139">
        <f t="shared" si="40"/>
        <v>0.25679704615384613</v>
      </c>
      <c r="AA139">
        <f t="shared" si="51"/>
        <v>4.5856615384615385E-2</v>
      </c>
      <c r="AB139">
        <f t="shared" si="41"/>
        <v>629.01135992379227</v>
      </c>
      <c r="AC139">
        <f t="shared" si="42"/>
        <v>453.6561864198793</v>
      </c>
      <c r="AD139">
        <f t="shared" si="43"/>
        <v>420.00000000000006</v>
      </c>
      <c r="AE139">
        <f t="shared" si="44"/>
        <v>420.00000000000006</v>
      </c>
      <c r="AF139">
        <f t="shared" si="45"/>
        <v>0.44516129032258067</v>
      </c>
      <c r="AG139">
        <f t="shared" si="46"/>
        <v>0.44516129032258067</v>
      </c>
      <c r="AH139">
        <f t="shared" si="47"/>
        <v>0.69985852894215062</v>
      </c>
      <c r="AI139">
        <f t="shared" si="48"/>
        <v>0.16376045479944626</v>
      </c>
    </row>
    <row r="140" spans="1:35" x14ac:dyDescent="0.25">
      <c r="A140" t="s">
        <v>261</v>
      </c>
      <c r="B140">
        <f>ISW2RMS^2*RDSOnHS*10^-3</f>
        <v>0.4923040984600921</v>
      </c>
      <c r="C140" t="s">
        <v>4</v>
      </c>
      <c r="F140">
        <v>0.05</v>
      </c>
      <c r="G140">
        <f t="shared" si="24"/>
        <v>5.75</v>
      </c>
      <c r="H140">
        <f t="shared" si="49"/>
        <v>7.9999999999999988E-2</v>
      </c>
      <c r="I140">
        <f t="shared" si="50"/>
        <v>1.2</v>
      </c>
      <c r="J140">
        <f t="shared" si="25"/>
        <v>0.75130434782608713</v>
      </c>
      <c r="K140">
        <f t="shared" si="26"/>
        <v>8.5708997188378641E-2</v>
      </c>
      <c r="L140">
        <f t="shared" si="27"/>
        <v>1.2</v>
      </c>
      <c r="M140">
        <f t="shared" si="28"/>
        <v>0.75130434782608713</v>
      </c>
      <c r="O140">
        <f t="shared" si="29"/>
        <v>5.75</v>
      </c>
      <c r="P140">
        <f t="shared" si="30"/>
        <v>4.3125</v>
      </c>
      <c r="Q140">
        <f t="shared" si="31"/>
        <v>1.3719599999999998E-2</v>
      </c>
      <c r="R140">
        <f t="shared" si="32"/>
        <v>3.1023599999999995E-2</v>
      </c>
      <c r="S140">
        <f t="shared" si="33"/>
        <v>-4.843390246764543E-2</v>
      </c>
      <c r="T140">
        <f t="shared" si="34"/>
        <v>-0.12252734450864322</v>
      </c>
      <c r="U140">
        <f t="shared" si="35"/>
        <v>0.21351759600391859</v>
      </c>
      <c r="V140">
        <f t="shared" si="36"/>
        <v>8.4386793297095822E-2</v>
      </c>
      <c r="W140">
        <f t="shared" si="37"/>
        <v>137.13268337159587</v>
      </c>
      <c r="X140">
        <f t="shared" si="38"/>
        <v>403.87555733166113</v>
      </c>
      <c r="Y140">
        <f t="shared" si="39"/>
        <v>0.84719999999999995</v>
      </c>
      <c r="Z140">
        <f t="shared" si="40"/>
        <v>0.26358000000000004</v>
      </c>
      <c r="AA140">
        <f t="shared" si="51"/>
        <v>4.5840000000000006E-2</v>
      </c>
      <c r="AB140">
        <f t="shared" si="41"/>
        <v>635.64691449304632</v>
      </c>
      <c r="AC140">
        <f t="shared" si="42"/>
        <v>460.2137891490496</v>
      </c>
      <c r="AD140">
        <f t="shared" si="43"/>
        <v>420.00000000000006</v>
      </c>
      <c r="AE140">
        <f t="shared" si="44"/>
        <v>420.00000000000006</v>
      </c>
      <c r="AF140">
        <f t="shared" si="45"/>
        <v>0.44879032258064516</v>
      </c>
      <c r="AG140">
        <f t="shared" si="46"/>
        <v>0.44879032258064516</v>
      </c>
      <c r="AH140">
        <f t="shared" si="47"/>
        <v>0.68686214193655692</v>
      </c>
      <c r="AI140">
        <f t="shared" si="48"/>
        <v>0.14211475160293494</v>
      </c>
    </row>
    <row r="141" spans="1:35" x14ac:dyDescent="0.25">
      <c r="A141" t="s">
        <v>269</v>
      </c>
      <c r="B141">
        <f>ILSSWRMSVinminVoutmaxIoutVoutMax^2*RSCh*10^-3</f>
        <v>0.24826219387208207</v>
      </c>
      <c r="C141" t="s">
        <v>4</v>
      </c>
      <c r="F141">
        <v>0.06</v>
      </c>
      <c r="G141">
        <f t="shared" si="24"/>
        <v>5.9</v>
      </c>
      <c r="H141">
        <f t="shared" si="49"/>
        <v>7.9999999999999988E-2</v>
      </c>
      <c r="I141">
        <f t="shared" si="50"/>
        <v>1.2</v>
      </c>
      <c r="J141">
        <f t="shared" si="25"/>
        <v>0.73220338983050859</v>
      </c>
      <c r="K141">
        <f t="shared" si="26"/>
        <v>8.7501405810684177E-2</v>
      </c>
      <c r="L141">
        <f t="shared" si="27"/>
        <v>1.2</v>
      </c>
      <c r="M141">
        <f t="shared" si="28"/>
        <v>0.73220338983050859</v>
      </c>
      <c r="O141">
        <f t="shared" si="29"/>
        <v>5.9</v>
      </c>
      <c r="P141">
        <f t="shared" si="30"/>
        <v>4.4250000000000007</v>
      </c>
      <c r="Q141">
        <f t="shared" si="31"/>
        <v>1.3719599999999998E-2</v>
      </c>
      <c r="R141">
        <f t="shared" si="32"/>
        <v>3.1023599999999995E-2</v>
      </c>
      <c r="S141">
        <f t="shared" si="33"/>
        <v>-4.8703346912089877E-2</v>
      </c>
      <c r="T141">
        <f t="shared" si="34"/>
        <v>-0.12279678895308767</v>
      </c>
      <c r="U141">
        <f t="shared" si="35"/>
        <v>0.21787016029584791</v>
      </c>
      <c r="V141">
        <f t="shared" si="36"/>
        <v>8.6396056346348421E-2</v>
      </c>
      <c r="W141">
        <f t="shared" si="37"/>
        <v>137.13242728827086</v>
      </c>
      <c r="X141">
        <f t="shared" si="38"/>
        <v>403.87547035996596</v>
      </c>
      <c r="Y141">
        <f t="shared" si="39"/>
        <v>0.84725538461538463</v>
      </c>
      <c r="Z141">
        <f t="shared" si="40"/>
        <v>0.27035796923076921</v>
      </c>
      <c r="AA141">
        <f t="shared" si="51"/>
        <v>4.5823384615384613E-2</v>
      </c>
      <c r="AB141">
        <f t="shared" si="41"/>
        <v>642.04940417841044</v>
      </c>
      <c r="AC141">
        <f t="shared" si="42"/>
        <v>466.61291200818044</v>
      </c>
      <c r="AD141">
        <f t="shared" si="43"/>
        <v>420.00000000000006</v>
      </c>
      <c r="AE141">
        <f t="shared" si="44"/>
        <v>420.00000000000006</v>
      </c>
      <c r="AF141">
        <f t="shared" si="45"/>
        <v>0.45241935483870965</v>
      </c>
      <c r="AG141">
        <f t="shared" si="46"/>
        <v>0.45241935483870965</v>
      </c>
      <c r="AH141">
        <f t="shared" si="47"/>
        <v>0.67429821949505786</v>
      </c>
      <c r="AI141">
        <f t="shared" si="48"/>
        <v>0.12074455388345716</v>
      </c>
    </row>
    <row r="142" spans="1:35" x14ac:dyDescent="0.25">
      <c r="A142" t="s">
        <v>270</v>
      </c>
      <c r="B142">
        <f>ISW2RMS^2*RClampESR*10^-3</f>
        <v>8.0926701116727454E-3</v>
      </c>
      <c r="C142" t="s">
        <v>4</v>
      </c>
      <c r="F142">
        <v>7.0000000000000007E-2</v>
      </c>
      <c r="G142">
        <f t="shared" si="24"/>
        <v>6.05</v>
      </c>
      <c r="H142">
        <f t="shared" si="49"/>
        <v>7.9999999999999988E-2</v>
      </c>
      <c r="I142">
        <f t="shared" si="50"/>
        <v>1.2</v>
      </c>
      <c r="J142">
        <f t="shared" si="25"/>
        <v>0.7140495867768597</v>
      </c>
      <c r="K142">
        <f t="shared" si="26"/>
        <v>8.9293814432989699E-2</v>
      </c>
      <c r="L142">
        <f t="shared" si="27"/>
        <v>1.2</v>
      </c>
      <c r="M142">
        <f t="shared" si="28"/>
        <v>0.7140495867768597</v>
      </c>
      <c r="O142">
        <f t="shared" si="29"/>
        <v>6.05</v>
      </c>
      <c r="P142">
        <f t="shared" si="30"/>
        <v>4.5374999999999996</v>
      </c>
      <c r="Q142">
        <f t="shared" si="31"/>
        <v>1.3719599999999998E-2</v>
      </c>
      <c r="R142">
        <f t="shared" si="32"/>
        <v>3.1023599999999995E-2</v>
      </c>
      <c r="S142">
        <f t="shared" si="33"/>
        <v>-4.8972791356534311E-2</v>
      </c>
      <c r="T142">
        <f t="shared" si="34"/>
        <v>-0.12306623339753212</v>
      </c>
      <c r="U142">
        <f t="shared" si="35"/>
        <v>0.22217482965530294</v>
      </c>
      <c r="V142">
        <f t="shared" si="36"/>
        <v>8.8396521128991185E-2</v>
      </c>
      <c r="W142">
        <f t="shared" si="37"/>
        <v>137.13217120494582</v>
      </c>
      <c r="X142">
        <f t="shared" si="38"/>
        <v>403.87538338827056</v>
      </c>
      <c r="Y142">
        <f t="shared" si="39"/>
        <v>0.8473107692307692</v>
      </c>
      <c r="Z142">
        <f t="shared" si="40"/>
        <v>0.27713095384615388</v>
      </c>
      <c r="AA142">
        <f t="shared" si="51"/>
        <v>4.5806769230769241E-2</v>
      </c>
      <c r="AB142">
        <f t="shared" si="41"/>
        <v>648.22879595028746</v>
      </c>
      <c r="AC142">
        <f t="shared" si="42"/>
        <v>472.85901777111781</v>
      </c>
      <c r="AD142">
        <f t="shared" si="43"/>
        <v>420.00000000000006</v>
      </c>
      <c r="AE142">
        <f t="shared" si="44"/>
        <v>420.00000000000006</v>
      </c>
      <c r="AF142">
        <f t="shared" si="45"/>
        <v>0.4560483870967742</v>
      </c>
      <c r="AG142">
        <f t="shared" si="46"/>
        <v>0.4560483870967742</v>
      </c>
      <c r="AH142">
        <f t="shared" si="47"/>
        <v>0.66215488506778364</v>
      </c>
      <c r="AI142">
        <f t="shared" si="48"/>
        <v>9.964686897283509E-2</v>
      </c>
    </row>
    <row r="143" spans="1:35" x14ac:dyDescent="0.25">
      <c r="A143" t="s">
        <v>271</v>
      </c>
      <c r="B143">
        <f>RCST*10^-3*ILSSWRMSVinminVoutmaxIoutVoutMax^2</f>
        <v>2.979146326464985E-3</v>
      </c>
      <c r="C143" t="s">
        <v>4</v>
      </c>
      <c r="F143">
        <v>0.08</v>
      </c>
      <c r="G143">
        <f t="shared" si="24"/>
        <v>6.2</v>
      </c>
      <c r="H143">
        <f t="shared" si="49"/>
        <v>7.9999999999999988E-2</v>
      </c>
      <c r="I143">
        <f t="shared" si="50"/>
        <v>1.2</v>
      </c>
      <c r="J143">
        <f t="shared" si="25"/>
        <v>0.69677419354838721</v>
      </c>
      <c r="K143">
        <f t="shared" si="26"/>
        <v>9.1086223055295221E-2</v>
      </c>
      <c r="L143">
        <f t="shared" si="27"/>
        <v>1.2</v>
      </c>
      <c r="M143">
        <f t="shared" si="28"/>
        <v>0.69677419354838721</v>
      </c>
      <c r="O143">
        <f t="shared" si="29"/>
        <v>6.2</v>
      </c>
      <c r="P143">
        <f t="shared" si="30"/>
        <v>4.6500000000000004</v>
      </c>
      <c r="Q143">
        <f t="shared" si="31"/>
        <v>1.3719599999999998E-2</v>
      </c>
      <c r="R143">
        <f t="shared" si="32"/>
        <v>3.1023599999999995E-2</v>
      </c>
      <c r="S143">
        <f t="shared" si="33"/>
        <v>-4.9242235800978751E-2</v>
      </c>
      <c r="T143">
        <f t="shared" si="34"/>
        <v>-0.12333567784197655</v>
      </c>
      <c r="U143">
        <f t="shared" si="35"/>
        <v>0.22643239029903026</v>
      </c>
      <c r="V143">
        <f t="shared" si="36"/>
        <v>9.0388245308242965E-2</v>
      </c>
      <c r="W143">
        <f t="shared" si="37"/>
        <v>137.13191512162075</v>
      </c>
      <c r="X143">
        <f t="shared" si="38"/>
        <v>403.87529641657528</v>
      </c>
      <c r="Y143">
        <f t="shared" si="39"/>
        <v>0.84736615384615388</v>
      </c>
      <c r="Z143">
        <f t="shared" si="40"/>
        <v>0.28389895384615377</v>
      </c>
      <c r="AA143">
        <f t="shared" si="51"/>
        <v>4.5790153846153835E-2</v>
      </c>
      <c r="AB143">
        <f t="shared" si="41"/>
        <v>654.19450625828858</v>
      </c>
      <c r="AC143">
        <f t="shared" si="42"/>
        <v>478.95732122042193</v>
      </c>
      <c r="AD143">
        <f t="shared" si="43"/>
        <v>420.00000000000006</v>
      </c>
      <c r="AE143">
        <f t="shared" si="44"/>
        <v>420.00000000000006</v>
      </c>
      <c r="AF143">
        <f t="shared" si="45"/>
        <v>0.45967741935483869</v>
      </c>
      <c r="AG143">
        <f t="shared" si="46"/>
        <v>0.45967741935483869</v>
      </c>
      <c r="AH143">
        <f t="shared" si="47"/>
        <v>0.65042062519298294</v>
      </c>
      <c r="AI143">
        <f t="shared" si="48"/>
        <v>7.881874067031068E-2</v>
      </c>
    </row>
    <row r="144" spans="1:35" x14ac:dyDescent="0.25">
      <c r="A144" t="s">
        <v>274</v>
      </c>
      <c r="B144">
        <f>Nch*VoutmaxTol/(Lch*10^-6+Lleak*10^-6)</f>
        <v>989387.75510204071</v>
      </c>
      <c r="C144" t="s">
        <v>268</v>
      </c>
      <c r="F144">
        <v>0.09</v>
      </c>
      <c r="G144">
        <f t="shared" si="24"/>
        <v>6.35</v>
      </c>
      <c r="H144">
        <f t="shared" si="49"/>
        <v>7.9999999999999988E-2</v>
      </c>
      <c r="I144">
        <f t="shared" si="50"/>
        <v>1.2</v>
      </c>
      <c r="J144">
        <f t="shared" si="25"/>
        <v>0.68031496062992147</v>
      </c>
      <c r="K144">
        <f t="shared" si="26"/>
        <v>9.2878631677600756E-2</v>
      </c>
      <c r="L144">
        <f t="shared" si="27"/>
        <v>1.2</v>
      </c>
      <c r="M144">
        <f t="shared" si="28"/>
        <v>0.68031496062992147</v>
      </c>
      <c r="O144">
        <f t="shared" si="29"/>
        <v>6.35</v>
      </c>
      <c r="P144">
        <f t="shared" si="30"/>
        <v>4.7624999999999993</v>
      </c>
      <c r="Q144">
        <f t="shared" si="31"/>
        <v>1.3719599999999998E-2</v>
      </c>
      <c r="R144">
        <f t="shared" si="32"/>
        <v>3.1023599999999995E-2</v>
      </c>
      <c r="S144">
        <f t="shared" si="33"/>
        <v>-4.9511680245423198E-2</v>
      </c>
      <c r="T144">
        <f t="shared" si="34"/>
        <v>-0.12360512228642098</v>
      </c>
      <c r="U144">
        <f t="shared" si="35"/>
        <v>0.23064361132929043</v>
      </c>
      <c r="V144">
        <f t="shared" si="36"/>
        <v>9.2371286044526671E-2</v>
      </c>
      <c r="W144">
        <f t="shared" si="37"/>
        <v>137.13165903829577</v>
      </c>
      <c r="X144">
        <f t="shared" si="38"/>
        <v>403.87520944487989</v>
      </c>
      <c r="Y144">
        <f t="shared" si="39"/>
        <v>0.84742153846153845</v>
      </c>
      <c r="Z144">
        <f t="shared" si="40"/>
        <v>0.2906619692307692</v>
      </c>
      <c r="AA144">
        <f t="shared" si="51"/>
        <v>4.5773538461538463E-2</v>
      </c>
      <c r="AB144">
        <f t="shared" si="41"/>
        <v>659.95543845399061</v>
      </c>
      <c r="AC144">
        <f t="shared" si="42"/>
        <v>484.91280306158939</v>
      </c>
      <c r="AD144">
        <f t="shared" si="43"/>
        <v>420.00000000000006</v>
      </c>
      <c r="AE144">
        <f t="shared" si="44"/>
        <v>420.00000000000006</v>
      </c>
      <c r="AF144">
        <f t="shared" si="45"/>
        <v>0.46330645161290324</v>
      </c>
      <c r="AG144">
        <f t="shared" si="46"/>
        <v>0.46330645161290324</v>
      </c>
      <c r="AH144">
        <f t="shared" si="47"/>
        <v>0.63908427682606272</v>
      </c>
      <c r="AI144">
        <f t="shared" si="48"/>
        <v>5.8257248732880296E-2</v>
      </c>
    </row>
    <row r="145" spans="1:35" x14ac:dyDescent="0.25">
      <c r="A145" t="s">
        <v>273</v>
      </c>
      <c r="B145">
        <f>1/(12*Wclamp^2)*Nch^2*(Wclamp*(2*Wclamp*TevalVinminVoutmaxIoutMVout*(9*IpkACFVinminVoutmaxIoutVoutMax^2-6*IpkACFVinminVoutmaxIoutVoutMax*(CharlieIntegral)*TevalVinminVoutmaxIoutMVout+2*CharlieIntegral^2*TevalVinminVoutmaxIoutMVout^2)+3*IpkACFVinminVoutmaxIoutVoutMax^2*SIN(2*Wclamp*TevalVinminVoutmaxIoutMVout)-24*IpkACFVinminVoutmaxIoutVoutMax*(IpkACFVinminVoutmaxIoutVoutMax-CharlieIntegral*TevalVinminVoutmaxIoutMVout)*SIN(Wclamp*TevalVinminVoutmaxIoutMVout))+24*IpkACFVinminVoutmaxIoutVoutMax*CharlieIntegral*COS(Wclamp*TevalVinminVoutmaxIoutMVout))</f>
        <v>3.4422772898048298E-4</v>
      </c>
      <c r="C145" t="s">
        <v>268</v>
      </c>
      <c r="F145">
        <v>0.1</v>
      </c>
      <c r="G145">
        <f t="shared" si="24"/>
        <v>6.5</v>
      </c>
      <c r="H145">
        <f t="shared" si="49"/>
        <v>7.9999999999999988E-2</v>
      </c>
      <c r="I145">
        <f t="shared" si="50"/>
        <v>1.2</v>
      </c>
      <c r="J145">
        <f t="shared" si="25"/>
        <v>0.66461538461538483</v>
      </c>
      <c r="K145">
        <f t="shared" si="26"/>
        <v>9.4671040299906278E-2</v>
      </c>
      <c r="L145">
        <f t="shared" si="27"/>
        <v>1.2</v>
      </c>
      <c r="M145">
        <f t="shared" si="28"/>
        <v>0.66461538461538483</v>
      </c>
      <c r="O145">
        <f t="shared" si="29"/>
        <v>6.5</v>
      </c>
      <c r="P145">
        <f t="shared" si="30"/>
        <v>4.875</v>
      </c>
      <c r="Q145">
        <f t="shared" si="31"/>
        <v>1.3719599999999998E-2</v>
      </c>
      <c r="R145">
        <f t="shared" si="32"/>
        <v>3.1023599999999995E-2</v>
      </c>
      <c r="S145">
        <f t="shared" si="33"/>
        <v>-4.9781124689867645E-2</v>
      </c>
      <c r="T145">
        <f t="shared" si="34"/>
        <v>-0.12387456673086544</v>
      </c>
      <c r="U145">
        <f t="shared" si="35"/>
        <v>0.23480924519702673</v>
      </c>
      <c r="V145">
        <f t="shared" si="36"/>
        <v>9.4345700000937838E-2</v>
      </c>
      <c r="W145">
        <f t="shared" si="37"/>
        <v>137.13140295497072</v>
      </c>
      <c r="X145">
        <f t="shared" si="38"/>
        <v>403.87512247318472</v>
      </c>
      <c r="Y145">
        <f t="shared" si="39"/>
        <v>0.84747692307692302</v>
      </c>
      <c r="Z145">
        <f t="shared" si="40"/>
        <v>0.29742000000000013</v>
      </c>
      <c r="AA145">
        <f t="shared" si="51"/>
        <v>4.5756923076923098E-2</v>
      </c>
      <c r="AB145">
        <f t="shared" si="41"/>
        <v>665.5200172025767</v>
      </c>
      <c r="AC145">
        <f t="shared" si="42"/>
        <v>490.73022291084089</v>
      </c>
      <c r="AD145">
        <f t="shared" si="43"/>
        <v>420.00000000000006</v>
      </c>
      <c r="AE145">
        <f t="shared" si="44"/>
        <v>420.00000000000006</v>
      </c>
      <c r="AF145">
        <f t="shared" si="45"/>
        <v>0.46693548387096773</v>
      </c>
      <c r="AG145">
        <f t="shared" si="46"/>
        <v>0.46693548387096773</v>
      </c>
      <c r="AH145">
        <f t="shared" si="47"/>
        <v>0.62813501517027603</v>
      </c>
      <c r="AI145">
        <f t="shared" si="48"/>
        <v>3.7959508373742644E-2</v>
      </c>
    </row>
    <row r="146" spans="1:35" x14ac:dyDescent="0.25">
      <c r="A146" t="s">
        <v>275</v>
      </c>
      <c r="B146" s="6">
        <f>Nch*ILSSWRMSVinminVoutmaxIoutVoutMax</f>
        <v>5.9791099603184934</v>
      </c>
      <c r="C146" t="s">
        <v>11</v>
      </c>
      <c r="D146" t="s">
        <v>506</v>
      </c>
      <c r="F146">
        <v>0.11</v>
      </c>
      <c r="G146">
        <f t="shared" si="24"/>
        <v>6.65</v>
      </c>
      <c r="H146">
        <f t="shared" si="49"/>
        <v>7.9999999999999988E-2</v>
      </c>
      <c r="I146">
        <f t="shared" si="50"/>
        <v>1.2</v>
      </c>
      <c r="J146">
        <f t="shared" si="25"/>
        <v>0.6496240601503761</v>
      </c>
      <c r="K146">
        <f t="shared" si="26"/>
        <v>9.6463448922211814E-2</v>
      </c>
      <c r="L146">
        <f t="shared" si="27"/>
        <v>1.2</v>
      </c>
      <c r="M146">
        <f t="shared" si="28"/>
        <v>0.6496240601503761</v>
      </c>
      <c r="O146">
        <f t="shared" si="29"/>
        <v>6.65</v>
      </c>
      <c r="P146">
        <f t="shared" si="30"/>
        <v>4.9875000000000007</v>
      </c>
      <c r="Q146">
        <f t="shared" si="31"/>
        <v>1.3719599999999998E-2</v>
      </c>
      <c r="R146">
        <f t="shared" si="32"/>
        <v>3.1023599999999995E-2</v>
      </c>
      <c r="S146">
        <f t="shared" si="33"/>
        <v>-5.0050569134312092E-2</v>
      </c>
      <c r="T146">
        <f t="shared" si="34"/>
        <v>-0.1241440111753099</v>
      </c>
      <c r="U146">
        <f t="shared" si="35"/>
        <v>0.23893002815007156</v>
      </c>
      <c r="V146">
        <f t="shared" si="36"/>
        <v>9.6311543348641393E-2</v>
      </c>
      <c r="W146">
        <f t="shared" si="37"/>
        <v>137.13114687164571</v>
      </c>
      <c r="X146">
        <f t="shared" si="38"/>
        <v>403.87503550148944</v>
      </c>
      <c r="Y146">
        <f t="shared" si="39"/>
        <v>0.8475323076923077</v>
      </c>
      <c r="Z146">
        <f t="shared" si="40"/>
        <v>0.30417304615384616</v>
      </c>
      <c r="AA146">
        <f t="shared" si="51"/>
        <v>4.5740307692307691E-2</v>
      </c>
      <c r="AB146">
        <f t="shared" si="41"/>
        <v>670.89622016226554</v>
      </c>
      <c r="AC146">
        <f t="shared" si="42"/>
        <v>496.41413142764435</v>
      </c>
      <c r="AD146">
        <f t="shared" si="43"/>
        <v>420.00000000000006</v>
      </c>
      <c r="AE146">
        <f t="shared" si="44"/>
        <v>420.00000000000006</v>
      </c>
      <c r="AF146">
        <f t="shared" si="45"/>
        <v>0.47056451612903227</v>
      </c>
      <c r="AG146">
        <f t="shared" si="46"/>
        <v>0.47056451612903227</v>
      </c>
      <c r="AH146">
        <f t="shared" si="47"/>
        <v>0.6175623419867825</v>
      </c>
      <c r="AI146">
        <f t="shared" si="48"/>
        <v>1.7922669768713897E-2</v>
      </c>
    </row>
    <row r="147" spans="1:35" x14ac:dyDescent="0.25">
      <c r="A147" t="s">
        <v>276</v>
      </c>
      <c r="B147">
        <f>ISECRMS^2*RDSOnSec*10^-3+ISECRMS*Vforward</f>
        <v>0.39324731509337801</v>
      </c>
      <c r="C147" t="s">
        <v>4</v>
      </c>
      <c r="F147">
        <v>0.12</v>
      </c>
      <c r="G147">
        <f t="shared" si="24"/>
        <v>6.8</v>
      </c>
      <c r="H147">
        <f t="shared" si="49"/>
        <v>7.9999999999999988E-2</v>
      </c>
      <c r="I147">
        <f t="shared" si="50"/>
        <v>1.2</v>
      </c>
      <c r="J147">
        <f t="shared" si="25"/>
        <v>0.63529411764705901</v>
      </c>
      <c r="K147">
        <f t="shared" si="26"/>
        <v>9.8255857544517336E-2</v>
      </c>
      <c r="L147">
        <f t="shared" si="27"/>
        <v>1.2</v>
      </c>
      <c r="M147">
        <f t="shared" si="28"/>
        <v>0.63529411764705901</v>
      </c>
      <c r="O147">
        <f t="shared" si="29"/>
        <v>6.8</v>
      </c>
      <c r="P147">
        <f t="shared" si="30"/>
        <v>5.0999999999999996</v>
      </c>
      <c r="Q147">
        <f t="shared" si="31"/>
        <v>1.3719599999999998E-2</v>
      </c>
      <c r="R147">
        <f t="shared" si="32"/>
        <v>3.1023599999999995E-2</v>
      </c>
      <c r="S147">
        <f t="shared" si="33"/>
        <v>-5.0320013578756533E-2</v>
      </c>
      <c r="T147">
        <f t="shared" si="34"/>
        <v>-0.12441345561975434</v>
      </c>
      <c r="U147">
        <f t="shared" si="35"/>
        <v>0.24300668066695411</v>
      </c>
      <c r="V147">
        <f t="shared" si="36"/>
        <v>9.8268871772198674E-2</v>
      </c>
      <c r="W147">
        <f t="shared" si="37"/>
        <v>137.1308907883207</v>
      </c>
      <c r="X147">
        <f t="shared" si="38"/>
        <v>403.87494852979404</v>
      </c>
      <c r="Y147">
        <f t="shared" si="39"/>
        <v>0.84758769230769226</v>
      </c>
      <c r="Z147">
        <f t="shared" si="40"/>
        <v>0.3109211076923078</v>
      </c>
      <c r="AA147">
        <f t="shared" si="51"/>
        <v>4.5723692307692326E-2</v>
      </c>
      <c r="AB147">
        <f t="shared" si="41"/>
        <v>676.09160718130943</v>
      </c>
      <c r="AC147">
        <f t="shared" si="42"/>
        <v>501.96888165696885</v>
      </c>
      <c r="AD147">
        <f t="shared" si="43"/>
        <v>420.00000000000006</v>
      </c>
      <c r="AE147">
        <f t="shared" si="44"/>
        <v>420.00000000000006</v>
      </c>
      <c r="AF147">
        <f t="shared" si="45"/>
        <v>0.47419354838709676</v>
      </c>
      <c r="AG147">
        <f t="shared" si="46"/>
        <v>0.47419354838709676</v>
      </c>
      <c r="AH147">
        <f t="shared" si="47"/>
        <v>0.60735607436289285</v>
      </c>
      <c r="AI147">
        <f t="shared" si="48"/>
        <v>-1.856082429530029E-3</v>
      </c>
    </row>
    <row r="148" spans="1:35" x14ac:dyDescent="0.25">
      <c r="A148" t="s">
        <v>277</v>
      </c>
      <c r="B148">
        <f>(ESROutE1x*10^-3/CoutCountE*ESROutC1x*10^-3/CoutCountC)/(ESROutE1x*10^-3/CoutCountE+ESROutC1x*10^-3/CoutCountC)</f>
        <v>3.4374999999999996E-3</v>
      </c>
      <c r="C148" t="s">
        <v>74</v>
      </c>
      <c r="F148">
        <v>0.13</v>
      </c>
      <c r="G148">
        <f t="shared" si="24"/>
        <v>6.95</v>
      </c>
      <c r="H148">
        <f t="shared" si="49"/>
        <v>7.9999999999999988E-2</v>
      </c>
      <c r="I148">
        <f t="shared" si="50"/>
        <v>1.2</v>
      </c>
      <c r="J148">
        <f t="shared" si="25"/>
        <v>0.62158273381294982</v>
      </c>
      <c r="K148">
        <f t="shared" si="26"/>
        <v>0.10004826616682287</v>
      </c>
      <c r="L148">
        <f t="shared" si="27"/>
        <v>1.2</v>
      </c>
      <c r="M148">
        <f t="shared" si="28"/>
        <v>0.62158273381294982</v>
      </c>
      <c r="O148">
        <f t="shared" si="29"/>
        <v>6.95</v>
      </c>
      <c r="P148">
        <f t="shared" si="30"/>
        <v>5.2125000000000004</v>
      </c>
      <c r="Q148">
        <f t="shared" si="31"/>
        <v>1.3719599999999998E-2</v>
      </c>
      <c r="R148">
        <f t="shared" si="32"/>
        <v>3.1023599999999995E-2</v>
      </c>
      <c r="S148">
        <f t="shared" si="33"/>
        <v>-5.0589458023200973E-2</v>
      </c>
      <c r="T148">
        <f t="shared" si="34"/>
        <v>-0.12468290006419877</v>
      </c>
      <c r="U148">
        <f t="shared" si="35"/>
        <v>0.24703990787684493</v>
      </c>
      <c r="V148">
        <f t="shared" si="36"/>
        <v>0.1002177404748254</v>
      </c>
      <c r="W148">
        <f t="shared" si="37"/>
        <v>137.13063470499563</v>
      </c>
      <c r="X148">
        <f t="shared" si="38"/>
        <v>403.8748615580987</v>
      </c>
      <c r="Y148">
        <f t="shared" si="39"/>
        <v>0.84764307692307694</v>
      </c>
      <c r="Z148">
        <f t="shared" si="40"/>
        <v>0.31766418461538459</v>
      </c>
      <c r="AA148">
        <f t="shared" si="51"/>
        <v>4.570707692307692E-2</v>
      </c>
      <c r="AB148">
        <f t="shared" si="41"/>
        <v>681.11334723657581</v>
      </c>
      <c r="AC148">
        <f t="shared" si="42"/>
        <v>507.39863964067894</v>
      </c>
      <c r="AD148">
        <f t="shared" si="43"/>
        <v>420.00000000000006</v>
      </c>
      <c r="AE148">
        <f t="shared" si="44"/>
        <v>420.00000000000006</v>
      </c>
      <c r="AF148">
        <f t="shared" si="45"/>
        <v>0.47782258064516131</v>
      </c>
      <c r="AG148">
        <f t="shared" si="46"/>
        <v>0.47782258064516131</v>
      </c>
      <c r="AH148">
        <f t="shared" si="47"/>
        <v>0.59750633391835062</v>
      </c>
      <c r="AI148">
        <f t="shared" si="48"/>
        <v>-2.1379529569526438E-2</v>
      </c>
    </row>
    <row r="149" spans="1:35" x14ac:dyDescent="0.25">
      <c r="A149" t="s">
        <v>278</v>
      </c>
      <c r="B149">
        <f>CsecESRTot*ISECRMS^2</f>
        <v>0.12288978596668061</v>
      </c>
      <c r="C149" t="s">
        <v>4</v>
      </c>
      <c r="F149">
        <v>0.14000000000000001</v>
      </c>
      <c r="G149">
        <f t="shared" si="24"/>
        <v>7.1</v>
      </c>
      <c r="H149">
        <f t="shared" si="49"/>
        <v>7.9999999999999988E-2</v>
      </c>
      <c r="I149">
        <f t="shared" si="50"/>
        <v>1.2</v>
      </c>
      <c r="J149">
        <f t="shared" si="25"/>
        <v>0.6084507042253523</v>
      </c>
      <c r="K149">
        <f t="shared" si="26"/>
        <v>0.10184067478912839</v>
      </c>
      <c r="L149">
        <f t="shared" si="27"/>
        <v>1.2</v>
      </c>
      <c r="M149">
        <f t="shared" si="28"/>
        <v>0.6084507042253523</v>
      </c>
      <c r="O149">
        <f t="shared" si="29"/>
        <v>7.1</v>
      </c>
      <c r="P149">
        <f t="shared" si="30"/>
        <v>5.3249999999999993</v>
      </c>
      <c r="Q149">
        <f t="shared" si="31"/>
        <v>1.3719599999999998E-2</v>
      </c>
      <c r="R149">
        <f t="shared" si="32"/>
        <v>3.1023599999999995E-2</v>
      </c>
      <c r="S149">
        <f t="shared" si="33"/>
        <v>-5.085890246764542E-2</v>
      </c>
      <c r="T149">
        <f t="shared" si="34"/>
        <v>-0.1249523445086432</v>
      </c>
      <c r="U149">
        <f t="shared" si="35"/>
        <v>0.25103039996615062</v>
      </c>
      <c r="V149">
        <f t="shared" si="36"/>
        <v>0.10215820418358119</v>
      </c>
      <c r="W149">
        <f t="shared" si="37"/>
        <v>137.13037862167062</v>
      </c>
      <c r="X149">
        <f t="shared" si="38"/>
        <v>403.87477458640348</v>
      </c>
      <c r="Y149">
        <f t="shared" si="39"/>
        <v>0.84769846153846151</v>
      </c>
      <c r="Z149">
        <f t="shared" si="40"/>
        <v>0.32440227692307694</v>
      </c>
      <c r="AA149">
        <f t="shared" si="51"/>
        <v>4.5690461538461541E-2</v>
      </c>
      <c r="AB149">
        <f t="shared" si="41"/>
        <v>685.968243314917</v>
      </c>
      <c r="AC149">
        <f t="shared" si="42"/>
        <v>512.70739435242967</v>
      </c>
      <c r="AD149">
        <f t="shared" si="43"/>
        <v>420.00000000000006</v>
      </c>
      <c r="AE149">
        <f t="shared" si="44"/>
        <v>420.00000000000006</v>
      </c>
      <c r="AF149">
        <f t="shared" si="45"/>
        <v>0.4814516129032258</v>
      </c>
      <c r="AG149">
        <f t="shared" si="46"/>
        <v>0.4814516129032258</v>
      </c>
      <c r="AH149">
        <f t="shared" si="47"/>
        <v>0.58800353643049119</v>
      </c>
      <c r="AI149">
        <f t="shared" si="48"/>
        <v>-4.0650419471557134E-2</v>
      </c>
    </row>
    <row r="150" spans="1:35" x14ac:dyDescent="0.25">
      <c r="A150" t="s">
        <v>294</v>
      </c>
      <c r="B150">
        <f>1/(FswVinminVoutmaxIoutMVout*10^3)*DutyACFVinminVoutmaxIoutVoutMax</f>
        <v>2.478224576591337E-6</v>
      </c>
      <c r="C150" t="s">
        <v>111</v>
      </c>
      <c r="F150">
        <v>0.15</v>
      </c>
      <c r="G150">
        <f t="shared" si="24"/>
        <v>7.25</v>
      </c>
      <c r="H150">
        <f t="shared" si="49"/>
        <v>7.9999999999999988E-2</v>
      </c>
      <c r="I150">
        <f t="shared" si="50"/>
        <v>1.2</v>
      </c>
      <c r="J150">
        <f t="shared" si="25"/>
        <v>0.59586206896551741</v>
      </c>
      <c r="K150">
        <f t="shared" si="26"/>
        <v>0.10363308341143393</v>
      </c>
      <c r="L150">
        <f t="shared" si="27"/>
        <v>1.2</v>
      </c>
      <c r="M150">
        <f t="shared" si="28"/>
        <v>0.59586206896551741</v>
      </c>
      <c r="O150">
        <f t="shared" si="29"/>
        <v>7.25</v>
      </c>
      <c r="P150">
        <f t="shared" si="30"/>
        <v>5.4375</v>
      </c>
      <c r="Q150">
        <f t="shared" si="31"/>
        <v>1.3719599999999998E-2</v>
      </c>
      <c r="R150">
        <f t="shared" si="32"/>
        <v>3.1023599999999995E-2</v>
      </c>
      <c r="S150">
        <f t="shared" si="33"/>
        <v>-5.1128346912089867E-2</v>
      </c>
      <c r="T150">
        <f t="shared" si="34"/>
        <v>-0.12522178895308766</v>
      </c>
      <c r="U150">
        <f t="shared" si="35"/>
        <v>0.25497883257225384</v>
      </c>
      <c r="V150">
        <f t="shared" si="36"/>
        <v>0.10409031715449271</v>
      </c>
      <c r="W150">
        <f t="shared" si="37"/>
        <v>137.13012253834557</v>
      </c>
      <c r="X150">
        <f t="shared" si="38"/>
        <v>403.87468761470819</v>
      </c>
      <c r="Y150">
        <f t="shared" si="39"/>
        <v>0.84775384615384619</v>
      </c>
      <c r="Z150">
        <f t="shared" si="40"/>
        <v>0.3311353846153845</v>
      </c>
      <c r="AA150">
        <f t="shared" si="51"/>
        <v>4.5673846153846134E-2</v>
      </c>
      <c r="AB150">
        <f t="shared" si="41"/>
        <v>690.66275541831101</v>
      </c>
      <c r="AC150">
        <f t="shared" si="42"/>
        <v>517.89896700584859</v>
      </c>
      <c r="AD150">
        <f t="shared" si="43"/>
        <v>420.00000000000006</v>
      </c>
      <c r="AE150">
        <f t="shared" si="44"/>
        <v>420.00000000000006</v>
      </c>
      <c r="AF150">
        <f t="shared" si="45"/>
        <v>0.48508064516129035</v>
      </c>
      <c r="AG150">
        <f t="shared" si="46"/>
        <v>0.48508064516129035</v>
      </c>
      <c r="AH150">
        <f t="shared" si="47"/>
        <v>0.57883838186003933</v>
      </c>
      <c r="AI150">
        <f t="shared" si="48"/>
        <v>-5.9671466890756933E-2</v>
      </c>
    </row>
    <row r="151" spans="1:35" x14ac:dyDescent="0.25">
      <c r="A151" t="s">
        <v>295</v>
      </c>
      <c r="B151">
        <f>TonACFVinminVoutmaxIoutMVout*VinMin/(Lch*10^-6)</f>
        <v>2.628554105116343</v>
      </c>
      <c r="C151" t="s">
        <v>11</v>
      </c>
      <c r="F151">
        <v>0.16</v>
      </c>
      <c r="G151">
        <f t="shared" si="24"/>
        <v>7.4</v>
      </c>
      <c r="H151">
        <f t="shared" si="49"/>
        <v>7.9999999999999988E-2</v>
      </c>
      <c r="I151">
        <f t="shared" ref="I151:I182" si="52">IF(H151&lt;0.05,1.04,IF(H151&lt;0.18,1.2,IF(H151&lt;0.22,1.36,IF(H151&lt;0.27,1.52,IF(H151&lt;0.33,1.68,IF(H151&lt;0.39,1.84,IF(H151&lt;0.46,2,IF(H151&lt;0.54,2.16,IF(H151&lt;0.63,2.32,IF(H151&lt;0.74,2.48,IF(H151&lt;0.87,2.64,IF(H151&lt;1.02,2.8,IF(H151&lt;1.19,2.96,IF(H151&lt;1.39,3.12,IF(H151&lt;1.63,3.28)))))))))))))))</f>
        <v>1.2</v>
      </c>
      <c r="J151">
        <f t="shared" si="25"/>
        <v>0.58378378378378393</v>
      </c>
      <c r="K151">
        <f t="shared" si="26"/>
        <v>0.10542549203373947</v>
      </c>
      <c r="L151">
        <f t="shared" ref="L151:L210" si="53">IF(K151&lt;0.05,1.04,IF(K151&lt;0.18,1.2,IF(K151&lt;0.22,1.36,IF(K151&lt;0.27,1.52,IF(K151&lt;0.33,1.68,IF(K151&lt;0.39,1.84,IF(K151&lt;0.46,2,IF(K151&lt;0.54,2.16,IF(K151&lt;0.63,2.32,IF(K151&lt;0.74,2.48,IF(K151&lt;0.87,2.64,IF(K151&lt;1.02,2.8,IF(K151&lt;1.19,2.96,IF(K151&lt;1.39,3.12,IF(K151&lt;1.63,3.28)))))))))))))))</f>
        <v>1.2</v>
      </c>
      <c r="M151">
        <f t="shared" si="28"/>
        <v>0.58378378378378393</v>
      </c>
      <c r="O151">
        <f t="shared" si="29"/>
        <v>7.4</v>
      </c>
      <c r="P151">
        <f t="shared" si="30"/>
        <v>5.5500000000000007</v>
      </c>
      <c r="Q151">
        <f t="shared" si="31"/>
        <v>1.3719599999999998E-2</v>
      </c>
      <c r="R151">
        <f t="shared" si="32"/>
        <v>3.1023599999999995E-2</v>
      </c>
      <c r="S151">
        <f t="shared" si="33"/>
        <v>-5.1397791356534314E-2</v>
      </c>
      <c r="T151">
        <f t="shared" si="34"/>
        <v>-0.12549123339753213</v>
      </c>
      <c r="U151">
        <f t="shared" si="35"/>
        <v>0.25888586716486661</v>
      </c>
      <c r="V151">
        <f t="shared" si="36"/>
        <v>0.10601413317761024</v>
      </c>
      <c r="W151">
        <f t="shared" si="37"/>
        <v>137.12986645502056</v>
      </c>
      <c r="X151">
        <f t="shared" si="38"/>
        <v>403.87460064301303</v>
      </c>
      <c r="Y151">
        <f t="shared" si="39"/>
        <v>0.84780923076923076</v>
      </c>
      <c r="Z151">
        <f t="shared" si="40"/>
        <v>0.33786350769230772</v>
      </c>
      <c r="AA151">
        <f t="shared" si="51"/>
        <v>4.5657230769230769E-2</v>
      </c>
      <c r="AB151">
        <f t="shared" si="41"/>
        <v>695.20302185577248</v>
      </c>
      <c r="AC151">
        <f t="shared" si="42"/>
        <v>522.9770197816473</v>
      </c>
      <c r="AD151">
        <f t="shared" si="43"/>
        <v>420.00000000000006</v>
      </c>
      <c r="AE151">
        <f t="shared" si="44"/>
        <v>420.00000000000006</v>
      </c>
      <c r="AF151">
        <f t="shared" si="45"/>
        <v>0.48870967741935484</v>
      </c>
      <c r="AG151">
        <f t="shared" si="46"/>
        <v>0.48870967741935484</v>
      </c>
      <c r="AH151">
        <f t="shared" si="47"/>
        <v>0.57000184476020366</v>
      </c>
      <c r="AI151">
        <f t="shared" si="48"/>
        <v>-7.8445353972945581E-2</v>
      </c>
    </row>
    <row r="152" spans="1:35" x14ac:dyDescent="0.25">
      <c r="A152" t="s">
        <v>296</v>
      </c>
      <c r="B152">
        <f>Lch*10^-6*(ImaxACFVinminVoutmaxIoutMVout+InegVinminVoutmax)/(NpTurns*Ae*10^-6)</f>
        <v>0.21284697676393469</v>
      </c>
      <c r="C152" t="s">
        <v>297</v>
      </c>
      <c r="F152">
        <v>0.17</v>
      </c>
      <c r="G152">
        <f t="shared" si="24"/>
        <v>7.5500000000000007</v>
      </c>
      <c r="H152">
        <f t="shared" si="49"/>
        <v>8.3086419753086449E-2</v>
      </c>
      <c r="I152">
        <f t="shared" si="52"/>
        <v>1.2</v>
      </c>
      <c r="J152">
        <f t="shared" si="25"/>
        <v>0.57218543046357628</v>
      </c>
      <c r="K152">
        <f t="shared" si="26"/>
        <v>0.107217900656045</v>
      </c>
      <c r="L152">
        <f t="shared" si="53"/>
        <v>1.2</v>
      </c>
      <c r="M152">
        <f t="shared" si="28"/>
        <v>0.57218543046357628</v>
      </c>
      <c r="O152">
        <f t="shared" si="29"/>
        <v>7.5500000000000007</v>
      </c>
      <c r="P152">
        <f t="shared" si="30"/>
        <v>5.6625000000000005</v>
      </c>
      <c r="Q152">
        <f t="shared" si="31"/>
        <v>1.3719599999999998E-2</v>
      </c>
      <c r="R152">
        <f t="shared" si="32"/>
        <v>3.1023599999999995E-2</v>
      </c>
      <c r="S152">
        <f t="shared" si="33"/>
        <v>-5.1667235800978761E-2</v>
      </c>
      <c r="T152">
        <f t="shared" si="34"/>
        <v>-0.12576067784197656</v>
      </c>
      <c r="U152">
        <f t="shared" si="35"/>
        <v>0.26275215141545266</v>
      </c>
      <c r="V152">
        <f t="shared" si="36"/>
        <v>0.10792970558199962</v>
      </c>
      <c r="W152">
        <f t="shared" si="37"/>
        <v>137.12961037169552</v>
      </c>
      <c r="X152">
        <f t="shared" si="38"/>
        <v>403.87451367131757</v>
      </c>
      <c r="Y152">
        <f t="shared" si="39"/>
        <v>0.84786461538461533</v>
      </c>
      <c r="Z152">
        <f t="shared" si="40"/>
        <v>0.34458664615384632</v>
      </c>
      <c r="AA152">
        <f t="shared" si="51"/>
        <v>4.5640615384615404E-2</v>
      </c>
      <c r="AB152">
        <f t="shared" si="41"/>
        <v>699.59487896906296</v>
      </c>
      <c r="AC152">
        <f t="shared" si="42"/>
        <v>527.94506401554997</v>
      </c>
      <c r="AD152">
        <f t="shared" si="43"/>
        <v>420.00000000000006</v>
      </c>
      <c r="AE152">
        <f t="shared" si="44"/>
        <v>420.00000000000006</v>
      </c>
      <c r="AF152">
        <f t="shared" si="45"/>
        <v>0.49233870967741933</v>
      </c>
      <c r="AG152">
        <f t="shared" si="46"/>
        <v>0.49233870967741933</v>
      </c>
      <c r="AH152">
        <f t="shared" si="47"/>
        <v>0.5614851650525392</v>
      </c>
      <c r="AI152">
        <f t="shared" si="48"/>
        <v>-9.6974730703302481E-2</v>
      </c>
    </row>
    <row r="153" spans="1:35" x14ac:dyDescent="0.25">
      <c r="A153" t="s">
        <v>298</v>
      </c>
      <c r="B153">
        <v>0.78</v>
      </c>
      <c r="C153" t="s">
        <v>21</v>
      </c>
      <c r="F153">
        <v>0.18</v>
      </c>
      <c r="G153">
        <f t="shared" si="24"/>
        <v>7.6999999999999993</v>
      </c>
      <c r="H153">
        <f t="shared" si="49"/>
        <v>8.8641975308641957E-2</v>
      </c>
      <c r="I153">
        <f t="shared" si="52"/>
        <v>1.2</v>
      </c>
      <c r="J153">
        <f t="shared" si="25"/>
        <v>0.56103896103896123</v>
      </c>
      <c r="K153">
        <f t="shared" si="26"/>
        <v>0.10901030927835051</v>
      </c>
      <c r="L153">
        <f t="shared" si="53"/>
        <v>1.2</v>
      </c>
      <c r="M153">
        <f t="shared" si="28"/>
        <v>0.56103896103896123</v>
      </c>
      <c r="O153">
        <f t="shared" si="29"/>
        <v>7.6999999999999993</v>
      </c>
      <c r="P153">
        <f t="shared" si="30"/>
        <v>5.7749999999999995</v>
      </c>
      <c r="Q153">
        <f t="shared" si="31"/>
        <v>1.3719599999999998E-2</v>
      </c>
      <c r="R153">
        <f t="shared" si="32"/>
        <v>3.1023599999999995E-2</v>
      </c>
      <c r="S153">
        <f t="shared" si="33"/>
        <v>-5.1936680245423195E-2</v>
      </c>
      <c r="T153">
        <f t="shared" si="34"/>
        <v>-0.12603012228642099</v>
      </c>
      <c r="U153">
        <f t="shared" si="35"/>
        <v>0.26657831955514982</v>
      </c>
      <c r="V153">
        <f t="shared" si="36"/>
        <v>0.10983708724066993</v>
      </c>
      <c r="W153">
        <f t="shared" si="37"/>
        <v>137.12935428837051</v>
      </c>
      <c r="X153">
        <f t="shared" si="38"/>
        <v>403.87442669962229</v>
      </c>
      <c r="Y153">
        <f t="shared" si="39"/>
        <v>0.84792000000000001</v>
      </c>
      <c r="Z153">
        <f t="shared" si="40"/>
        <v>0.35130479999999992</v>
      </c>
      <c r="AA153">
        <f t="shared" si="51"/>
        <v>4.5623999999999991E-2</v>
      </c>
      <c r="AB153">
        <f t="shared" si="41"/>
        <v>703.84387942497347</v>
      </c>
      <c r="AC153">
        <f t="shared" si="42"/>
        <v>532.80646788550143</v>
      </c>
      <c r="AD153">
        <f t="shared" si="43"/>
        <v>420.00000000000006</v>
      </c>
      <c r="AE153">
        <f t="shared" si="44"/>
        <v>420.00000000000006</v>
      </c>
      <c r="AF153">
        <f t="shared" si="45"/>
        <v>0.49596774193548387</v>
      </c>
      <c r="AG153">
        <f t="shared" si="46"/>
        <v>0.49596774193548387</v>
      </c>
      <c r="AH153">
        <f t="shared" si="47"/>
        <v>0.55327983915385304</v>
      </c>
      <c r="AI153">
        <f t="shared" si="48"/>
        <v>-0.11526221534801867</v>
      </c>
    </row>
    <row r="154" spans="1:35" x14ac:dyDescent="0.25">
      <c r="A154" t="s">
        <v>299</v>
      </c>
      <c r="B154">
        <f>Lch*10^-6*CurrentLimit/(RSCh*10^-3)/(NpTurns*Ae*10^-6)</f>
        <v>0.26</v>
      </c>
      <c r="C154" t="s">
        <v>297</v>
      </c>
      <c r="F154">
        <v>0.19</v>
      </c>
      <c r="G154">
        <f t="shared" si="24"/>
        <v>7.85</v>
      </c>
      <c r="H154">
        <f t="shared" si="49"/>
        <v>9.4197530864197507E-2</v>
      </c>
      <c r="I154">
        <f t="shared" si="52"/>
        <v>1.2</v>
      </c>
      <c r="J154">
        <f t="shared" si="25"/>
        <v>0.55031847133757983</v>
      </c>
      <c r="K154">
        <f t="shared" si="26"/>
        <v>0.11080271790065604</v>
      </c>
      <c r="L154">
        <f t="shared" si="53"/>
        <v>1.2</v>
      </c>
      <c r="M154">
        <f t="shared" si="28"/>
        <v>0.55031847133757983</v>
      </c>
      <c r="O154">
        <f t="shared" si="29"/>
        <v>7.85</v>
      </c>
      <c r="P154">
        <f t="shared" si="30"/>
        <v>5.8874999999999993</v>
      </c>
      <c r="Q154">
        <f t="shared" si="31"/>
        <v>1.3719599999999998E-2</v>
      </c>
      <c r="R154">
        <f t="shared" si="32"/>
        <v>3.1023599999999995E-2</v>
      </c>
      <c r="S154">
        <f t="shared" si="33"/>
        <v>-5.2206124689867642E-2</v>
      </c>
      <c r="T154">
        <f t="shared" si="34"/>
        <v>-0.12629956673086543</v>
      </c>
      <c r="U154">
        <f t="shared" si="35"/>
        <v>0.27036499272160863</v>
      </c>
      <c r="V154">
        <f t="shared" si="36"/>
        <v>0.11173633057543834</v>
      </c>
      <c r="W154">
        <f t="shared" si="37"/>
        <v>137.12909820504549</v>
      </c>
      <c r="X154">
        <f t="shared" si="38"/>
        <v>403.87433972792701</v>
      </c>
      <c r="Y154">
        <f t="shared" si="39"/>
        <v>0.84797538461538458</v>
      </c>
      <c r="Z154">
        <f t="shared" si="40"/>
        <v>0.35801796923076934</v>
      </c>
      <c r="AA154">
        <f t="shared" si="51"/>
        <v>4.5607384615384633E-2</v>
      </c>
      <c r="AB154">
        <f t="shared" si="41"/>
        <v>707.95530919424482</v>
      </c>
      <c r="AC154">
        <f t="shared" si="42"/>
        <v>537.56446363352404</v>
      </c>
      <c r="AD154">
        <f t="shared" si="43"/>
        <v>420.00000000000006</v>
      </c>
      <c r="AE154">
        <f t="shared" si="44"/>
        <v>420.00000000000006</v>
      </c>
      <c r="AF154">
        <f t="shared" si="45"/>
        <v>0.49959677419354837</v>
      </c>
      <c r="AG154">
        <f t="shared" si="46"/>
        <v>0.49959677419354837</v>
      </c>
      <c r="AH154">
        <f t="shared" si="47"/>
        <v>0.54537761143917896</v>
      </c>
      <c r="AI154">
        <f t="shared" si="48"/>
        <v>-0.13331039488904289</v>
      </c>
    </row>
    <row r="155" spans="1:35" x14ac:dyDescent="0.25">
      <c r="A155" t="s">
        <v>301</v>
      </c>
      <c r="B155">
        <f>4*PI()*10^-7</f>
        <v>1.2566370614359173E-6</v>
      </c>
      <c r="C155" t="s">
        <v>497</v>
      </c>
      <c r="F155">
        <v>0.2</v>
      </c>
      <c r="G155">
        <f t="shared" si="24"/>
        <v>8</v>
      </c>
      <c r="H155">
        <f t="shared" si="49"/>
        <v>9.9753086419753084E-2</v>
      </c>
      <c r="I155">
        <f t="shared" si="52"/>
        <v>1.2</v>
      </c>
      <c r="J155">
        <f t="shared" si="25"/>
        <v>0.54000000000000015</v>
      </c>
      <c r="K155">
        <f t="shared" si="26"/>
        <v>0.11259512652296158</v>
      </c>
      <c r="L155">
        <f t="shared" si="53"/>
        <v>1.2</v>
      </c>
      <c r="M155">
        <f t="shared" si="28"/>
        <v>0.54000000000000015</v>
      </c>
      <c r="O155">
        <f t="shared" si="29"/>
        <v>8</v>
      </c>
      <c r="P155">
        <f t="shared" si="30"/>
        <v>6</v>
      </c>
      <c r="Q155">
        <f t="shared" si="31"/>
        <v>1.3719599999999998E-2</v>
      </c>
      <c r="R155">
        <f t="shared" si="32"/>
        <v>3.1023599999999995E-2</v>
      </c>
      <c r="S155">
        <f t="shared" si="33"/>
        <v>-5.2475569134312089E-2</v>
      </c>
      <c r="T155">
        <f t="shared" si="34"/>
        <v>-0.12656901117530989</v>
      </c>
      <c r="U155">
        <f t="shared" si="35"/>
        <v>0.27411277929514577</v>
      </c>
      <c r="V155">
        <f t="shared" si="36"/>
        <v>0.11362748756173252</v>
      </c>
      <c r="W155">
        <f t="shared" si="37"/>
        <v>137.12884212172048</v>
      </c>
      <c r="X155">
        <f t="shared" si="38"/>
        <v>403.87425275623178</v>
      </c>
      <c r="Y155">
        <f t="shared" si="39"/>
        <v>0.84803076923076925</v>
      </c>
      <c r="Z155">
        <f t="shared" si="40"/>
        <v>0.36472615384615376</v>
      </c>
      <c r="AA155">
        <f t="shared" si="51"/>
        <v>4.5590769230769219E-2</v>
      </c>
      <c r="AB155">
        <f t="shared" si="41"/>
        <v>711.93420332583673</v>
      </c>
      <c r="AC155">
        <f t="shared" si="42"/>
        <v>542.22215435475528</v>
      </c>
      <c r="AD155">
        <f t="shared" si="43"/>
        <v>420.00000000000006</v>
      </c>
      <c r="AE155">
        <f t="shared" si="44"/>
        <v>420.00000000000006</v>
      </c>
      <c r="AF155">
        <f t="shared" si="45"/>
        <v>0.50322580645161286</v>
      </c>
      <c r="AG155">
        <f t="shared" si="46"/>
        <v>0.50322580645161286</v>
      </c>
      <c r="AH155">
        <f t="shared" si="47"/>
        <v>0.53777046602654244</v>
      </c>
      <c r="AI155">
        <f t="shared" si="48"/>
        <v>-0.15112182545204275</v>
      </c>
    </row>
    <row r="156" spans="1:35" x14ac:dyDescent="0.25">
      <c r="A156" t="s">
        <v>300</v>
      </c>
      <c r="B156">
        <f>-(Lc*10^-3-((Ae*10^-6*NpTurns^2*MuR*MuO)/(Lch*10^-6)))/MuR*10^3</f>
        <v>0.35354480702687746</v>
      </c>
      <c r="C156" t="s">
        <v>302</v>
      </c>
      <c r="F156">
        <v>0.21</v>
      </c>
      <c r="G156">
        <f t="shared" si="24"/>
        <v>8.15</v>
      </c>
      <c r="H156">
        <f t="shared" si="49"/>
        <v>0.10530864197530868</v>
      </c>
      <c r="I156">
        <f t="shared" si="52"/>
        <v>1.2</v>
      </c>
      <c r="J156">
        <f t="shared" si="25"/>
        <v>0.53006134969325169</v>
      </c>
      <c r="K156">
        <f t="shared" si="26"/>
        <v>0.11438753514526712</v>
      </c>
      <c r="L156">
        <f t="shared" si="53"/>
        <v>1.2</v>
      </c>
      <c r="M156">
        <f t="shared" si="28"/>
        <v>0.53006134969325169</v>
      </c>
      <c r="O156">
        <f t="shared" si="29"/>
        <v>8.15</v>
      </c>
      <c r="P156">
        <f t="shared" si="30"/>
        <v>6.1125000000000007</v>
      </c>
      <c r="Q156">
        <f t="shared" si="31"/>
        <v>1.3719599999999998E-2</v>
      </c>
      <c r="R156">
        <f t="shared" si="32"/>
        <v>3.1023599999999995E-2</v>
      </c>
      <c r="S156">
        <f t="shared" si="33"/>
        <v>-5.2745013578756536E-2</v>
      </c>
      <c r="T156">
        <f t="shared" si="34"/>
        <v>-0.12683845561975432</v>
      </c>
      <c r="U156">
        <f t="shared" si="35"/>
        <v>0.27782227522459413</v>
      </c>
      <c r="V156">
        <f t="shared" si="36"/>
        <v>0.11551060973333206</v>
      </c>
      <c r="W156">
        <f t="shared" si="37"/>
        <v>137.12858603839544</v>
      </c>
      <c r="X156">
        <f t="shared" si="38"/>
        <v>403.87416578453644</v>
      </c>
      <c r="Y156">
        <f t="shared" si="39"/>
        <v>0.84808615384615382</v>
      </c>
      <c r="Z156">
        <f t="shared" si="40"/>
        <v>0.37142935384615389</v>
      </c>
      <c r="AA156">
        <f t="shared" si="51"/>
        <v>4.5574153846153848E-2</v>
      </c>
      <c r="AB156">
        <f t="shared" si="41"/>
        <v>715.78536061508896</v>
      </c>
      <c r="AC156">
        <f t="shared" si="42"/>
        <v>546.7825203836361</v>
      </c>
      <c r="AD156">
        <f t="shared" si="43"/>
        <v>420.00000000000006</v>
      </c>
      <c r="AE156">
        <f t="shared" si="44"/>
        <v>420.00000000000006</v>
      </c>
      <c r="AF156">
        <f t="shared" si="45"/>
        <v>0.5068548387096774</v>
      </c>
      <c r="AG156">
        <f t="shared" si="46"/>
        <v>0.5068548387096774</v>
      </c>
      <c r="AH156">
        <f t="shared" si="47"/>
        <v>0.53045061886992184</v>
      </c>
      <c r="AI156">
        <f t="shared" si="48"/>
        <v>-0.16869903272771064</v>
      </c>
    </row>
    <row r="157" spans="1:35" x14ac:dyDescent="0.25">
      <c r="A157" t="s">
        <v>304</v>
      </c>
      <c r="B157">
        <f>10^-3*IF(FswVinminVoutmaxIoutMVout&lt;250,(KH*FswVinminVoutmaxIoutMVout*10^3+Ke*(FswVinminVoutmaxIoutMVout*10^3)^2)*(BmPkVinminVoutmaxIoutMVout)^xx,Kk*BmPkVinminVoutmaxIoutMVout^alpha*(FswVinminVoutmaxIoutMVout*10^3)^beta)</f>
        <v>1.3364472952691704</v>
      </c>
      <c r="C157" t="s">
        <v>305</v>
      </c>
      <c r="F157">
        <v>0.22</v>
      </c>
      <c r="G157">
        <f t="shared" si="24"/>
        <v>8.3000000000000007</v>
      </c>
      <c r="H157">
        <f t="shared" si="49"/>
        <v>0.11086419753086423</v>
      </c>
      <c r="I157">
        <f t="shared" si="52"/>
        <v>1.2</v>
      </c>
      <c r="J157">
        <f t="shared" si="25"/>
        <v>0.52048192771084345</v>
      </c>
      <c r="K157">
        <f t="shared" si="26"/>
        <v>0.11617994376757265</v>
      </c>
      <c r="L157">
        <f t="shared" si="53"/>
        <v>1.2</v>
      </c>
      <c r="M157">
        <f t="shared" si="28"/>
        <v>0.52048192771084345</v>
      </c>
      <c r="O157">
        <f t="shared" si="29"/>
        <v>8.3000000000000007</v>
      </c>
      <c r="P157">
        <f t="shared" si="30"/>
        <v>6.2250000000000005</v>
      </c>
      <c r="Q157">
        <f t="shared" si="31"/>
        <v>1.3719599999999998E-2</v>
      </c>
      <c r="R157">
        <f t="shared" si="32"/>
        <v>3.1023599999999995E-2</v>
      </c>
      <c r="S157">
        <f t="shared" si="33"/>
        <v>-5.3014458023200983E-2</v>
      </c>
      <c r="T157">
        <f t="shared" si="34"/>
        <v>-0.12710790006419878</v>
      </c>
      <c r="U157">
        <f t="shared" si="35"/>
        <v>0.28149406434321578</v>
      </c>
      <c r="V157">
        <f t="shared" si="36"/>
        <v>0.11738574818704953</v>
      </c>
      <c r="W157">
        <f t="shared" si="37"/>
        <v>137.12832995507043</v>
      </c>
      <c r="X157">
        <f t="shared" si="38"/>
        <v>403.87407881284122</v>
      </c>
      <c r="Y157">
        <f t="shared" si="39"/>
        <v>0.84814153846153839</v>
      </c>
      <c r="Z157">
        <f t="shared" si="40"/>
        <v>0.37812756923076946</v>
      </c>
      <c r="AA157">
        <f t="shared" si="51"/>
        <v>4.5557538461538483E-2</v>
      </c>
      <c r="AB157">
        <f t="shared" si="41"/>
        <v>719.51335725521551</v>
      </c>
      <c r="AC157">
        <f t="shared" si="42"/>
        <v>551.24842530485751</v>
      </c>
      <c r="AD157">
        <f t="shared" si="43"/>
        <v>420.00000000000006</v>
      </c>
      <c r="AE157">
        <f t="shared" si="44"/>
        <v>420.00000000000006</v>
      </c>
      <c r="AF157">
        <f t="shared" si="45"/>
        <v>0.51048387096774195</v>
      </c>
      <c r="AG157">
        <f t="shared" si="46"/>
        <v>0.51048387096774195</v>
      </c>
      <c r="AH157">
        <f t="shared" si="47"/>
        <v>0.52341051014744167</v>
      </c>
      <c r="AI157">
        <f t="shared" si="48"/>
        <v>-0.18604451238651801</v>
      </c>
    </row>
    <row r="158" spans="1:35" x14ac:dyDescent="0.25">
      <c r="A158" t="s">
        <v>306</v>
      </c>
      <c r="B158">
        <v>-0.2</v>
      </c>
      <c r="F158">
        <v>0.23</v>
      </c>
      <c r="G158">
        <f t="shared" si="24"/>
        <v>8.4499999999999993</v>
      </c>
      <c r="H158">
        <f t="shared" si="49"/>
        <v>0.11641975308641973</v>
      </c>
      <c r="I158">
        <f t="shared" si="52"/>
        <v>1.2</v>
      </c>
      <c r="J158">
        <f t="shared" si="25"/>
        <v>0.51124260355029605</v>
      </c>
      <c r="K158">
        <f t="shared" si="26"/>
        <v>0.11797235238987816</v>
      </c>
      <c r="L158">
        <f t="shared" si="53"/>
        <v>1.2</v>
      </c>
      <c r="M158">
        <f t="shared" si="28"/>
        <v>0.51124260355029605</v>
      </c>
      <c r="O158">
        <f t="shared" si="29"/>
        <v>8.4499999999999993</v>
      </c>
      <c r="P158">
        <f t="shared" si="30"/>
        <v>6.3374999999999995</v>
      </c>
      <c r="Q158">
        <f t="shared" si="31"/>
        <v>1.3719599999999998E-2</v>
      </c>
      <c r="R158">
        <f t="shared" si="32"/>
        <v>3.1023599999999995E-2</v>
      </c>
      <c r="S158">
        <f t="shared" si="33"/>
        <v>-5.3283902467645423E-2</v>
      </c>
      <c r="T158">
        <f t="shared" si="34"/>
        <v>-0.12737734450864321</v>
      </c>
      <c r="U158">
        <f t="shared" si="35"/>
        <v>0.28512871867503065</v>
      </c>
      <c r="V158">
        <f t="shared" si="36"/>
        <v>0.11925295358735206</v>
      </c>
      <c r="W158">
        <f t="shared" si="37"/>
        <v>137.12807387174541</v>
      </c>
      <c r="X158">
        <f t="shared" si="38"/>
        <v>403.87399184114594</v>
      </c>
      <c r="Y158">
        <f t="shared" si="39"/>
        <v>0.84819692307692307</v>
      </c>
      <c r="Z158">
        <f t="shared" si="40"/>
        <v>0.38482079999999996</v>
      </c>
      <c r="AA158">
        <f t="shared" si="51"/>
        <v>4.5540923076923076E-2</v>
      </c>
      <c r="AB158">
        <f t="shared" si="41"/>
        <v>723.12255955339822</v>
      </c>
      <c r="AC158">
        <f t="shared" si="42"/>
        <v>555.62262161454646</v>
      </c>
      <c r="AD158">
        <f t="shared" si="43"/>
        <v>420.00000000000006</v>
      </c>
      <c r="AE158">
        <f t="shared" si="44"/>
        <v>420.00000000000006</v>
      </c>
      <c r="AF158">
        <f t="shared" si="45"/>
        <v>0.51411290322580649</v>
      </c>
      <c r="AG158">
        <f t="shared" si="46"/>
        <v>0.51411290322580649</v>
      </c>
      <c r="AH158">
        <f t="shared" si="47"/>
        <v>0.51664279693244974</v>
      </c>
      <c r="AI158">
        <f t="shared" si="48"/>
        <v>-0.20316073048703936</v>
      </c>
    </row>
    <row r="159" spans="1:35" x14ac:dyDescent="0.25">
      <c r="A159" t="s">
        <v>307</v>
      </c>
      <c r="B159">
        <f>8/(PI()^2*(4*DutyACFVinminVoutmaxIoutVoutMax*(1-DutyACFVinminVoutmaxIoutVoutMax))^(FactorforSquareWaves+1))</f>
        <v>0.81079740778237752</v>
      </c>
      <c r="F159">
        <v>0.24</v>
      </c>
      <c r="G159">
        <f t="shared" si="24"/>
        <v>8.6</v>
      </c>
      <c r="H159">
        <f t="shared" si="49"/>
        <v>0.12197530864197528</v>
      </c>
      <c r="I159">
        <f t="shared" si="52"/>
        <v>1.2</v>
      </c>
      <c r="J159">
        <f t="shared" si="25"/>
        <v>0.502325581395349</v>
      </c>
      <c r="K159">
        <f t="shared" si="26"/>
        <v>0.1197647610121837</v>
      </c>
      <c r="L159">
        <f t="shared" si="53"/>
        <v>1.2</v>
      </c>
      <c r="M159">
        <f t="shared" si="28"/>
        <v>0.502325581395349</v>
      </c>
      <c r="O159">
        <f t="shared" si="29"/>
        <v>8.6</v>
      </c>
      <c r="P159">
        <f t="shared" si="30"/>
        <v>6.4499999999999993</v>
      </c>
      <c r="Q159">
        <f t="shared" si="31"/>
        <v>1.3719599999999998E-2</v>
      </c>
      <c r="R159">
        <f t="shared" si="32"/>
        <v>3.1023599999999995E-2</v>
      </c>
      <c r="S159">
        <f t="shared" si="33"/>
        <v>-5.3553346912089871E-2</v>
      </c>
      <c r="T159">
        <f t="shared" si="34"/>
        <v>-0.12764678895308765</v>
      </c>
      <c r="U159">
        <f t="shared" si="35"/>
        <v>0.28872679873189716</v>
      </c>
      <c r="V159">
        <f t="shared" si="36"/>
        <v>0.12111227617092457</v>
      </c>
      <c r="W159">
        <f t="shared" si="37"/>
        <v>137.1278177884204</v>
      </c>
      <c r="X159">
        <f t="shared" si="38"/>
        <v>403.87390486945054</v>
      </c>
      <c r="Y159">
        <f t="shared" si="39"/>
        <v>0.84825230769230764</v>
      </c>
      <c r="Z159">
        <f t="shared" si="40"/>
        <v>0.39150904615384624</v>
      </c>
      <c r="AA159">
        <f t="shared" si="51"/>
        <v>4.5524307692307704E-2</v>
      </c>
      <c r="AB159">
        <f t="shared" si="41"/>
        <v>726.61713578540639</v>
      </c>
      <c r="AC159">
        <f t="shared" si="42"/>
        <v>559.90775605520196</v>
      </c>
      <c r="AD159">
        <f t="shared" si="43"/>
        <v>420.00000000000006</v>
      </c>
      <c r="AE159">
        <f t="shared" si="44"/>
        <v>420.00000000000006</v>
      </c>
      <c r="AF159">
        <f t="shared" si="45"/>
        <v>0.51774193548387093</v>
      </c>
      <c r="AG159">
        <f t="shared" si="46"/>
        <v>0.51774193548387093</v>
      </c>
      <c r="AH159">
        <f t="shared" si="47"/>
        <v>0.51014034613568149</v>
      </c>
      <c r="AI159">
        <f t="shared" si="48"/>
        <v>-0.22005012387795911</v>
      </c>
    </row>
    <row r="160" spans="1:35" x14ac:dyDescent="0.25">
      <c r="A160" t="s">
        <v>308</v>
      </c>
      <c r="B160">
        <f>Ve*PcvML29D*FwaveVinminVoutmaxIoutMVout*10^-3</f>
        <v>1.6253820039630196</v>
      </c>
      <c r="C160" t="s">
        <v>4</v>
      </c>
      <c r="F160">
        <v>0.25</v>
      </c>
      <c r="G160">
        <f t="shared" si="24"/>
        <v>8.75</v>
      </c>
      <c r="H160">
        <f t="shared" si="49"/>
        <v>0.12753086419753087</v>
      </c>
      <c r="I160">
        <f t="shared" si="52"/>
        <v>1.2</v>
      </c>
      <c r="J160">
        <f t="shared" si="25"/>
        <v>0.49371428571428583</v>
      </c>
      <c r="K160">
        <f t="shared" si="26"/>
        <v>0.12155716963448923</v>
      </c>
      <c r="L160">
        <f t="shared" si="53"/>
        <v>1.2</v>
      </c>
      <c r="M160">
        <f t="shared" si="28"/>
        <v>0.49371428571428583</v>
      </c>
      <c r="O160">
        <f t="shared" si="29"/>
        <v>8.75</v>
      </c>
      <c r="P160">
        <f t="shared" si="30"/>
        <v>6.5625</v>
      </c>
      <c r="Q160">
        <f t="shared" si="31"/>
        <v>1.3719599999999998E-2</v>
      </c>
      <c r="R160">
        <f t="shared" si="32"/>
        <v>3.1023599999999995E-2</v>
      </c>
      <c r="S160">
        <f t="shared" si="33"/>
        <v>-5.3822791356534318E-2</v>
      </c>
      <c r="T160">
        <f t="shared" si="34"/>
        <v>-0.12791623339753211</v>
      </c>
      <c r="U160">
        <f t="shared" si="35"/>
        <v>0.2922888538016698</v>
      </c>
      <c r="V160">
        <f t="shared" si="36"/>
        <v>0.12296376575117501</v>
      </c>
      <c r="W160">
        <f t="shared" si="37"/>
        <v>137.12756170509536</v>
      </c>
      <c r="X160">
        <f t="shared" si="38"/>
        <v>403.87381789775515</v>
      </c>
      <c r="Y160">
        <f t="shared" si="39"/>
        <v>0.84830769230769232</v>
      </c>
      <c r="Z160">
        <f t="shared" si="40"/>
        <v>0.39819230769230768</v>
      </c>
      <c r="AA160">
        <f t="shared" si="51"/>
        <v>4.5507692307692305E-2</v>
      </c>
      <c r="AB160">
        <f t="shared" si="41"/>
        <v>730.00106725607361</v>
      </c>
      <c r="AC160">
        <f t="shared" si="42"/>
        <v>564.10637464611011</v>
      </c>
      <c r="AD160">
        <f t="shared" si="43"/>
        <v>420.00000000000006</v>
      </c>
      <c r="AE160">
        <f t="shared" si="44"/>
        <v>420.00000000000006</v>
      </c>
      <c r="AF160">
        <f t="shared" si="45"/>
        <v>0.52137096774193548</v>
      </c>
      <c r="AG160">
        <f t="shared" si="46"/>
        <v>0.52137096774193548</v>
      </c>
      <c r="AH160">
        <f t="shared" si="47"/>
        <v>0.50389622770729092</v>
      </c>
      <c r="AI160">
        <f t="shared" si="48"/>
        <v>-0.23671510059386427</v>
      </c>
    </row>
    <row r="161" spans="1:35" x14ac:dyDescent="0.25">
      <c r="A161" t="s">
        <v>310</v>
      </c>
      <c r="B161">
        <f>(BobbinInnerDiameter+BobbinOuterDiameter)/2</f>
        <v>13.4</v>
      </c>
      <c r="C161" t="s">
        <v>293</v>
      </c>
      <c r="F161">
        <v>0.26</v>
      </c>
      <c r="G161">
        <f t="shared" si="24"/>
        <v>8.9</v>
      </c>
      <c r="H161">
        <f t="shared" si="49"/>
        <v>0.13308641975308647</v>
      </c>
      <c r="I161">
        <f t="shared" si="52"/>
        <v>1.2</v>
      </c>
      <c r="J161">
        <f t="shared" si="25"/>
        <v>0.4853932584269664</v>
      </c>
      <c r="K161">
        <f t="shared" si="26"/>
        <v>0.12334957825679477</v>
      </c>
      <c r="L161">
        <f t="shared" si="53"/>
        <v>1.2</v>
      </c>
      <c r="M161">
        <f t="shared" si="28"/>
        <v>0.4853932584269664</v>
      </c>
      <c r="O161">
        <f t="shared" si="29"/>
        <v>8.9</v>
      </c>
      <c r="P161">
        <f t="shared" si="30"/>
        <v>6.6750000000000007</v>
      </c>
      <c r="Q161">
        <f t="shared" si="31"/>
        <v>1.3719599999999998E-2</v>
      </c>
      <c r="R161">
        <f t="shared" si="32"/>
        <v>3.1023599999999995E-2</v>
      </c>
      <c r="S161">
        <f t="shared" si="33"/>
        <v>-5.4092235800978758E-2</v>
      </c>
      <c r="T161">
        <f t="shared" si="34"/>
        <v>-0.12818567784197654</v>
      </c>
      <c r="U161">
        <f t="shared" si="35"/>
        <v>0.29581542222774421</v>
      </c>
      <c r="V161">
        <f t="shared" si="36"/>
        <v>0.12480747172268315</v>
      </c>
      <c r="W161">
        <f t="shared" si="37"/>
        <v>137.12730562177035</v>
      </c>
      <c r="X161">
        <f t="shared" si="38"/>
        <v>403.87373092606009</v>
      </c>
      <c r="Y161">
        <f t="shared" si="39"/>
        <v>0.84836307692307689</v>
      </c>
      <c r="Z161">
        <f t="shared" si="40"/>
        <v>0.40487058461538472</v>
      </c>
      <c r="AA161">
        <f t="shared" si="51"/>
        <v>4.5491076923076933E-2</v>
      </c>
      <c r="AB161">
        <f t="shared" si="41"/>
        <v>733.27815862700118</v>
      </c>
      <c r="AC161">
        <f t="shared" si="42"/>
        <v>568.22092742932546</v>
      </c>
      <c r="AD161">
        <f t="shared" si="43"/>
        <v>420.00000000000006</v>
      </c>
      <c r="AE161">
        <f t="shared" si="44"/>
        <v>420.00000000000006</v>
      </c>
      <c r="AF161">
        <f t="shared" si="45"/>
        <v>0.52500000000000002</v>
      </c>
      <c r="AG161">
        <f t="shared" si="46"/>
        <v>0.52500000000000002</v>
      </c>
      <c r="AH161">
        <f t="shared" si="47"/>
        <v>0.49790370808801038</v>
      </c>
      <c r="AI161">
        <f t="shared" si="48"/>
        <v>-0.2531580402449442</v>
      </c>
    </row>
    <row r="162" spans="1:35" x14ac:dyDescent="0.25">
      <c r="A162" t="s">
        <v>311</v>
      </c>
      <c r="B162">
        <f>BobbinOuterDiameter-BobbinInnerDiameter</f>
        <v>9.1999999999999993</v>
      </c>
      <c r="C162" t="s">
        <v>293</v>
      </c>
      <c r="F162">
        <v>0.27</v>
      </c>
      <c r="G162">
        <f t="shared" si="24"/>
        <v>9.0500000000000007</v>
      </c>
      <c r="H162">
        <f t="shared" si="49"/>
        <v>0.138641975308642</v>
      </c>
      <c r="I162">
        <f t="shared" si="52"/>
        <v>1.2</v>
      </c>
      <c r="J162">
        <f t="shared" si="25"/>
        <v>0.47734806629834264</v>
      </c>
      <c r="K162">
        <f t="shared" si="26"/>
        <v>0.1251419868791003</v>
      </c>
      <c r="L162">
        <f t="shared" si="53"/>
        <v>1.2</v>
      </c>
      <c r="M162">
        <f t="shared" si="28"/>
        <v>0.47734806629834264</v>
      </c>
      <c r="O162">
        <f t="shared" si="29"/>
        <v>9.0500000000000007</v>
      </c>
      <c r="P162">
        <f t="shared" si="30"/>
        <v>6.7875000000000005</v>
      </c>
      <c r="Q162">
        <f t="shared" si="31"/>
        <v>1.3719599999999998E-2</v>
      </c>
      <c r="R162">
        <f t="shared" si="32"/>
        <v>3.1023599999999995E-2</v>
      </c>
      <c r="S162">
        <f t="shared" si="33"/>
        <v>-5.4361680245423205E-2</v>
      </c>
      <c r="T162">
        <f t="shared" si="34"/>
        <v>-0.128455122286421</v>
      </c>
      <c r="U162">
        <f t="shared" si="35"/>
        <v>0.2993070316802891</v>
      </c>
      <c r="V162">
        <f t="shared" si="36"/>
        <v>0.12664344306559308</v>
      </c>
      <c r="W162">
        <f t="shared" si="37"/>
        <v>137.12704953844533</v>
      </c>
      <c r="X162">
        <f t="shared" si="38"/>
        <v>403.8736439543647</v>
      </c>
      <c r="Y162">
        <f t="shared" si="39"/>
        <v>0.84841846153846157</v>
      </c>
      <c r="Z162">
        <f t="shared" si="40"/>
        <v>0.41154387692307687</v>
      </c>
      <c r="AA162">
        <f t="shared" si="51"/>
        <v>4.5474461538461526E-2</v>
      </c>
      <c r="AB162">
        <f t="shared" si="41"/>
        <v>736.45204756751059</v>
      </c>
      <c r="AC162">
        <f t="shared" si="42"/>
        <v>572.25377294980569</v>
      </c>
      <c r="AD162">
        <f t="shared" si="43"/>
        <v>420.00000000000006</v>
      </c>
      <c r="AE162">
        <f t="shared" si="44"/>
        <v>420.00000000000006</v>
      </c>
      <c r="AF162">
        <f t="shared" si="45"/>
        <v>0.52862903225806457</v>
      </c>
      <c r="AG162">
        <f t="shared" si="46"/>
        <v>0.52862903225806457</v>
      </c>
      <c r="AH162">
        <f t="shared" si="47"/>
        <v>0.49215624389921858</v>
      </c>
      <c r="AI162">
        <f t="shared" si="48"/>
        <v>-0.26938129440068637</v>
      </c>
    </row>
    <row r="163" spans="1:35" x14ac:dyDescent="0.25">
      <c r="A163" t="s">
        <v>312</v>
      </c>
      <c r="B163">
        <f>PI()*DepthCore</f>
        <v>42.097341558103231</v>
      </c>
      <c r="C163" t="s">
        <v>293</v>
      </c>
      <c r="D163">
        <f>DepthCore</f>
        <v>13.4</v>
      </c>
      <c r="F163">
        <v>0.28000000000000003</v>
      </c>
      <c r="G163">
        <f t="shared" si="24"/>
        <v>9.1999999999999993</v>
      </c>
      <c r="H163">
        <f t="shared" si="49"/>
        <v>0.14419753086419751</v>
      </c>
      <c r="I163">
        <f t="shared" si="52"/>
        <v>1.2</v>
      </c>
      <c r="J163">
        <f t="shared" si="25"/>
        <v>0.46956521739130452</v>
      </c>
      <c r="K163">
        <f t="shared" si="26"/>
        <v>0.12693439550140581</v>
      </c>
      <c r="L163">
        <f t="shared" si="53"/>
        <v>1.2</v>
      </c>
      <c r="M163">
        <f t="shared" si="28"/>
        <v>0.46956521739130452</v>
      </c>
      <c r="O163">
        <f t="shared" si="29"/>
        <v>9.1999999999999993</v>
      </c>
      <c r="P163">
        <f t="shared" si="30"/>
        <v>6.8999999999999995</v>
      </c>
      <c r="Q163">
        <f t="shared" si="31"/>
        <v>1.3719599999999998E-2</v>
      </c>
      <c r="R163">
        <f t="shared" si="32"/>
        <v>3.1023599999999995E-2</v>
      </c>
      <c r="S163">
        <f t="shared" si="33"/>
        <v>-5.4631124689867645E-2</v>
      </c>
      <c r="T163">
        <f t="shared" si="34"/>
        <v>-0.12872456673086544</v>
      </c>
      <c r="U163">
        <f t="shared" si="35"/>
        <v>0.30276419941945182</v>
      </c>
      <c r="V163">
        <f t="shared" si="36"/>
        <v>0.12847172834995069</v>
      </c>
      <c r="W163">
        <f t="shared" si="37"/>
        <v>137.12679345512026</v>
      </c>
      <c r="X163">
        <f t="shared" si="38"/>
        <v>403.87355698266941</v>
      </c>
      <c r="Y163">
        <f t="shared" si="39"/>
        <v>0.84847384615384613</v>
      </c>
      <c r="Z163">
        <f t="shared" si="40"/>
        <v>0.41821218461538462</v>
      </c>
      <c r="AA163">
        <f t="shared" si="51"/>
        <v>4.5457846153846161E-2</v>
      </c>
      <c r="AB163">
        <f t="shared" si="41"/>
        <v>739.52621378001902</v>
      </c>
      <c r="AC163">
        <f t="shared" si="42"/>
        <v>576.20718248691503</v>
      </c>
      <c r="AD163">
        <f t="shared" si="43"/>
        <v>420.00000000000006</v>
      </c>
      <c r="AE163">
        <f t="shared" si="44"/>
        <v>420.00000000000006</v>
      </c>
      <c r="AF163">
        <f t="shared" si="45"/>
        <v>0.532258064516129</v>
      </c>
      <c r="AG163">
        <f t="shared" si="46"/>
        <v>0.532258064516129</v>
      </c>
      <c r="AH163">
        <f t="shared" si="47"/>
        <v>0.48664747586214863</v>
      </c>
      <c r="AI163">
        <f t="shared" si="48"/>
        <v>-0.28538718696768572</v>
      </c>
    </row>
    <row r="164" spans="1:35" x14ac:dyDescent="0.25">
      <c r="A164" t="s">
        <v>519</v>
      </c>
      <c r="B164">
        <f>Bwindow*(BobbinOuterDiameter-BobbinInnerDiameter)</f>
        <v>28.52</v>
      </c>
      <c r="C164" t="s">
        <v>292</v>
      </c>
      <c r="F164">
        <v>0.28999999999999998</v>
      </c>
      <c r="G164">
        <f t="shared" si="24"/>
        <v>9.35</v>
      </c>
      <c r="H164">
        <f t="shared" si="49"/>
        <v>0.14975308641975305</v>
      </c>
      <c r="I164">
        <f t="shared" si="52"/>
        <v>1.2</v>
      </c>
      <c r="J164">
        <f t="shared" si="25"/>
        <v>0.4620320855614975</v>
      </c>
      <c r="K164">
        <f t="shared" si="26"/>
        <v>0.12872680412371135</v>
      </c>
      <c r="L164">
        <f t="shared" si="53"/>
        <v>1.2</v>
      </c>
      <c r="M164">
        <f t="shared" si="28"/>
        <v>0.4620320855614975</v>
      </c>
      <c r="O164">
        <f t="shared" si="29"/>
        <v>9.35</v>
      </c>
      <c r="P164">
        <f t="shared" si="30"/>
        <v>7.0124999999999993</v>
      </c>
      <c r="Q164">
        <f t="shared" si="31"/>
        <v>1.3719599999999998E-2</v>
      </c>
      <c r="R164">
        <f t="shared" si="32"/>
        <v>3.1023599999999995E-2</v>
      </c>
      <c r="S164">
        <f t="shared" si="33"/>
        <v>-5.4900569134312092E-2</v>
      </c>
      <c r="T164">
        <f t="shared" si="34"/>
        <v>-0.12899401117530987</v>
      </c>
      <c r="U164">
        <f t="shared" si="35"/>
        <v>0.30618743255081282</v>
      </c>
      <c r="V164">
        <f t="shared" si="36"/>
        <v>0.13029237573998684</v>
      </c>
      <c r="W164">
        <f t="shared" si="37"/>
        <v>137.12653737179525</v>
      </c>
      <c r="X164">
        <f t="shared" si="38"/>
        <v>403.87347001097402</v>
      </c>
      <c r="Y164">
        <f t="shared" si="39"/>
        <v>0.8485292307692307</v>
      </c>
      <c r="Z164">
        <f t="shared" si="40"/>
        <v>0.42487550769230786</v>
      </c>
      <c r="AA164">
        <f t="shared" si="51"/>
        <v>4.5441230769230789E-2</v>
      </c>
      <c r="AB164">
        <f t="shared" si="41"/>
        <v>742.503987446633</v>
      </c>
      <c r="AC164">
        <f t="shared" si="42"/>
        <v>580.08334405324308</v>
      </c>
      <c r="AD164">
        <f t="shared" si="43"/>
        <v>420.00000000000006</v>
      </c>
      <c r="AE164">
        <f t="shared" si="44"/>
        <v>420.00000000000006</v>
      </c>
      <c r="AF164">
        <f t="shared" si="45"/>
        <v>0.53588709677419355</v>
      </c>
      <c r="AG164">
        <f t="shared" si="46"/>
        <v>0.53588709677419355</v>
      </c>
      <c r="AH164">
        <f t="shared" si="47"/>
        <v>0.48137122293691753</v>
      </c>
      <c r="AI164">
        <f t="shared" si="48"/>
        <v>-0.30117801456166243</v>
      </c>
    </row>
    <row r="165" spans="1:35" x14ac:dyDescent="0.25">
      <c r="A165" t="s">
        <v>313</v>
      </c>
      <c r="B165">
        <f>BobbinMTL*NpTurns</f>
        <v>1010.3361973944775</v>
      </c>
      <c r="C165" t="s">
        <v>293</v>
      </c>
      <c r="F165">
        <v>0.3</v>
      </c>
      <c r="G165">
        <f t="shared" si="24"/>
        <v>9.5</v>
      </c>
      <c r="H165">
        <f t="shared" si="49"/>
        <v>0.15530864197530864</v>
      </c>
      <c r="I165">
        <f t="shared" si="52"/>
        <v>1.2</v>
      </c>
      <c r="J165">
        <f t="shared" si="25"/>
        <v>0.45473684210526327</v>
      </c>
      <c r="K165">
        <f t="shared" si="26"/>
        <v>0.13051921274601688</v>
      </c>
      <c r="L165">
        <f t="shared" si="53"/>
        <v>1.2</v>
      </c>
      <c r="M165">
        <f t="shared" si="28"/>
        <v>0.45473684210526327</v>
      </c>
      <c r="O165">
        <f t="shared" si="29"/>
        <v>9.5</v>
      </c>
      <c r="P165">
        <f t="shared" si="30"/>
        <v>7.125</v>
      </c>
      <c r="Q165">
        <f t="shared" si="31"/>
        <v>1.3719599999999998E-2</v>
      </c>
      <c r="R165">
        <f t="shared" si="32"/>
        <v>3.1023599999999995E-2</v>
      </c>
      <c r="S165">
        <f t="shared" si="33"/>
        <v>-5.5170013578756526E-2</v>
      </c>
      <c r="T165">
        <f t="shared" si="34"/>
        <v>-0.12926345561975433</v>
      </c>
      <c r="U165">
        <f t="shared" si="35"/>
        <v>0.30957722827335521</v>
      </c>
      <c r="V165">
        <f t="shared" si="36"/>
        <v>0.13210543299834679</v>
      </c>
      <c r="W165">
        <f t="shared" si="37"/>
        <v>137.12628128847021</v>
      </c>
      <c r="X165">
        <f t="shared" si="38"/>
        <v>403.87338303927874</v>
      </c>
      <c r="Y165">
        <f t="shared" si="39"/>
        <v>0.84858461538461538</v>
      </c>
      <c r="Z165">
        <f t="shared" si="40"/>
        <v>0.43153384615384616</v>
      </c>
      <c r="AA165">
        <f t="shared" si="51"/>
        <v>4.5424615384615383E-2</v>
      </c>
      <c r="AB165">
        <f t="shared" si="41"/>
        <v>745.38855713981013</v>
      </c>
      <c r="AC165">
        <f t="shared" si="42"/>
        <v>583.88436617553339</v>
      </c>
      <c r="AD165">
        <f t="shared" si="43"/>
        <v>420.00000000000006</v>
      </c>
      <c r="AE165">
        <f t="shared" si="44"/>
        <v>420.00000000000006</v>
      </c>
      <c r="AF165">
        <f t="shared" si="45"/>
        <v>0.5395161290322581</v>
      </c>
      <c r="AG165">
        <f t="shared" si="46"/>
        <v>0.5395161290322581</v>
      </c>
      <c r="AH165">
        <f t="shared" si="47"/>
        <v>0.47632147667246494</v>
      </c>
      <c r="AI165">
        <f t="shared" si="48"/>
        <v>-0.31675604687378989</v>
      </c>
    </row>
    <row r="166" spans="1:35" x14ac:dyDescent="0.25">
      <c r="A166" t="s">
        <v>314</v>
      </c>
      <c r="B166">
        <f>BobbinMTL*Nsec</f>
        <v>168.38936623241293</v>
      </c>
      <c r="C166" t="s">
        <v>293</v>
      </c>
      <c r="F166">
        <v>0.31</v>
      </c>
      <c r="G166">
        <f t="shared" si="24"/>
        <v>9.65</v>
      </c>
      <c r="H166">
        <f t="shared" si="49"/>
        <v>0.16086419753086423</v>
      </c>
      <c r="I166">
        <f t="shared" si="52"/>
        <v>1.2</v>
      </c>
      <c r="J166">
        <f t="shared" si="25"/>
        <v>0.44766839378238354</v>
      </c>
      <c r="K166">
        <f t="shared" si="26"/>
        <v>0.13231162136832239</v>
      </c>
      <c r="L166">
        <f t="shared" si="53"/>
        <v>1.2</v>
      </c>
      <c r="M166">
        <f t="shared" si="28"/>
        <v>0.44766839378238354</v>
      </c>
      <c r="O166">
        <f t="shared" si="29"/>
        <v>9.65</v>
      </c>
      <c r="P166">
        <f t="shared" si="30"/>
        <v>7.2375000000000007</v>
      </c>
      <c r="Q166">
        <f t="shared" si="31"/>
        <v>1.3719599999999998E-2</v>
      </c>
      <c r="R166">
        <f t="shared" si="32"/>
        <v>3.1023599999999995E-2</v>
      </c>
      <c r="S166">
        <f t="shared" si="33"/>
        <v>-5.5439458023200973E-2</v>
      </c>
      <c r="T166">
        <f t="shared" si="34"/>
        <v>-0.12953290006419876</v>
      </c>
      <c r="U166">
        <f t="shared" si="35"/>
        <v>0.31293407412020219</v>
      </c>
      <c r="V166">
        <f t="shared" si="36"/>
        <v>0.13391094749026697</v>
      </c>
      <c r="W166">
        <f t="shared" si="37"/>
        <v>137.12602520514514</v>
      </c>
      <c r="X166">
        <f t="shared" si="38"/>
        <v>403.87329606758345</v>
      </c>
      <c r="Y166">
        <f t="shared" si="39"/>
        <v>0.84863999999999995</v>
      </c>
      <c r="Z166">
        <f t="shared" si="40"/>
        <v>0.43818720000000017</v>
      </c>
      <c r="AA166">
        <f t="shared" si="51"/>
        <v>4.5408000000000018E-2</v>
      </c>
      <c r="AB166">
        <f t="shared" si="41"/>
        <v>748.18297723633202</v>
      </c>
      <c r="AC166">
        <f t="shared" si="42"/>
        <v>587.61228147144971</v>
      </c>
      <c r="AD166">
        <f t="shared" si="43"/>
        <v>420.00000000000006</v>
      </c>
      <c r="AE166">
        <f t="shared" si="44"/>
        <v>420.00000000000006</v>
      </c>
      <c r="AF166">
        <f t="shared" si="45"/>
        <v>0.54314516129032253</v>
      </c>
      <c r="AG166">
        <f t="shared" si="46"/>
        <v>0.54314516129032253</v>
      </c>
      <c r="AH166">
        <f t="shared" si="47"/>
        <v>0.47149239575891422</v>
      </c>
      <c r="AI166">
        <f t="shared" si="48"/>
        <v>-0.33212352703143272</v>
      </c>
    </row>
    <row r="167" spans="1:35" x14ac:dyDescent="0.25">
      <c r="A167" t="s">
        <v>319</v>
      </c>
      <c r="B167">
        <f>ROUND((Vccoff+RegDrop+Vforward)*Vmargin*Nsec/VoutMin,0)</f>
        <v>11</v>
      </c>
      <c r="C167" t="s">
        <v>78</v>
      </c>
      <c r="F167">
        <v>0.32</v>
      </c>
      <c r="G167">
        <f t="shared" ref="G167:G198" si="54">IF(VoutMin=VoutMax,VoutMin*(0.8+0.4*F167),VoutMin+(VoutMax-VoutMin)*F167)</f>
        <v>9.8000000000000007</v>
      </c>
      <c r="H167">
        <f t="shared" ref="H167:H198" si="55">BinVoltageVathZener+IF(((Naux1/Nsec*G167)-Vz)*RZ1Ch/(RZ1Ch+RZ2Ch)&gt;0,((Naux1/Nsec*G167)-Vz)*RZ1Ch/(RZ1Ch+RZ2Ch),0)</f>
        <v>0.16641975308641979</v>
      </c>
      <c r="I167">
        <f t="shared" si="52"/>
        <v>1.2</v>
      </c>
      <c r="J167">
        <f t="shared" ref="J167:J198" si="56">FswDCMMax*10^3*((I167/(FBGain*RSCh*10^-3))^2)*Lch*10^-6/(2*G167)</f>
        <v>0.44081632653061231</v>
      </c>
      <c r="K167">
        <f t="shared" ref="K167:K198" si="57">IF(OR(RNoZ2Ch=0,RNoZ2Ch="DNI"),RNoZ1Ch*IATH*10^-3,BinVoltageVathNoZener+RNoZ1Ch/(RNoZ1Ch+RNoZ2Ch)*Naux1/Nsec*G167)</f>
        <v>0.13410402999062793</v>
      </c>
      <c r="L167">
        <f t="shared" si="53"/>
        <v>1.2</v>
      </c>
      <c r="M167">
        <f t="shared" ref="M167:M198" si="58">FswDCMMax*10^3*((L167/(FBGain*RSCh*10^-3))^2)*Lch*10^-6/(2*G167)</f>
        <v>0.44081632653061231</v>
      </c>
      <c r="O167">
        <f t="shared" ref="O167:O198" si="59">IF(VoutMin=VoutMax,VoutMin*(0.8+0.4*F167),VoutMin+(VoutMax-VoutMin)*F167)</f>
        <v>9.8000000000000007</v>
      </c>
      <c r="P167">
        <f t="shared" ref="P167:P198" si="60">Naux1/Nsec*O167</f>
        <v>7.3500000000000005</v>
      </c>
      <c r="Q167">
        <f t="shared" ref="Q167:Q198" si="61">OppCVinmin*10^-6*RoppCh</f>
        <v>1.3719599999999998E-2</v>
      </c>
      <c r="R167">
        <f t="shared" ref="R167:R198" si="62">OppCVinmax*10^-6*RoppCh</f>
        <v>3.1023599999999995E-2</v>
      </c>
      <c r="S167">
        <f t="shared" ref="S167:S198" si="63">-CswTotal*10^-12*(VinMin+Nch*O167)/(Tzvs*10^-9)</f>
        <v>-5.570890246764542E-2</v>
      </c>
      <c r="T167">
        <f t="shared" ref="T167:T198" si="64">-CswTotal*10^-12*(VinMax+Nch*O167)/(Tzvs*10^-9)</f>
        <v>-0.12980234450864322</v>
      </c>
      <c r="U167">
        <f t="shared" ref="U167:U198" si="65">O167*Nch/(O167*Nch+VinMin)+(2*FminACF*10^3*AtoDTrans*Lleak*10^-6/(Nch*EffFL*VinMin))</f>
        <v>0.31625844819236959</v>
      </c>
      <c r="V167">
        <f t="shared" ref="V167:V198" si="66">O167*Nch/(O167*Nch+VinMax)+(2*FminACF*10^3*AtoDTrans*Lleak*10^-6/(Nch*EffFL*VinMax))</f>
        <v>0.13570896618769973</v>
      </c>
      <c r="W167">
        <f t="shared" ref="W167:W198" si="67">10^9*IF(CswTotal*10^-12*(VinMin+O167*Nch)*((1-U167)*Nch)/(AtoDTrans*2)&lt;RiseMax,CswTotal*10^-12*(VinMin+O167*Nch)*((1-U167)*Nch)/(AtoDTrans*2),RiseMax)</f>
        <v>137.12576912182016</v>
      </c>
      <c r="X167">
        <f t="shared" ref="X167:X198" si="68">10^9*IF(CswTotal*10^-12*(VinMax+O167*Nch)*((1-V167)*Nch)/(AtoDTrans*2)&lt;RiseMax,CswTotal*10^-12*(VinMax+O167*Nch)*((1-V167)*Nch)/(AtoDTrans*2),RiseMax)</f>
        <v>403.87320909588817</v>
      </c>
      <c r="Y167">
        <f t="shared" ref="Y167:Y198" si="69">(EffFL-Eff4W)/(IoutVoutMax*VoutMax)*AtoDTrans*O167+Eff4W-(EffFL-Eff4W)/(IoutVoutMax*VoutMax)*4</f>
        <v>0.84869538461538463</v>
      </c>
      <c r="Z167">
        <f t="shared" ref="Z167:Z198" si="70">O167*AtoDTrans*(1-Y167)</f>
        <v>0.44483556923076917</v>
      </c>
      <c r="AA167">
        <f t="shared" si="51"/>
        <v>4.5391384615384604E-2</v>
      </c>
      <c r="AB167">
        <f t="shared" ref="AB167:AB198" si="71">1/((1/((VinMin*Nch*O167/(Nch*O167+VinMin))/(2*Lch*10^-6*((AtoDTrans+AA167)/((1-Nch*O167/(Nch*O167+VinMin))*Nch)-S167))))+Tzvs*10^-9+W167*10^-9)/1000</f>
        <v>750.89017487060187</v>
      </c>
      <c r="AC167">
        <f t="shared" ref="AC167:AC198" si="72">1/((1/((VinMax*Nch*O167/(Nch*O167+VinMax))/(2*Lch*10^-6*((AtoDTrans+AA167)/((1-Nch*O167/(Nch*O167+VinMax))*Nch)-T167))))+Tzvs*10^-9+X167*10^-9)/1000</f>
        <v>591.26905003492107</v>
      </c>
      <c r="AD167">
        <f t="shared" ref="AD167:AD198" si="73">IF(AB167&lt;FswACFMinChRt,FswACFMinChRt,IF(AB167&lt;FswACFMax,AB167,FswACFMax))</f>
        <v>420.00000000000006</v>
      </c>
      <c r="AE167">
        <f t="shared" ref="AE167:AE198" si="74">IF(AC167&lt;FswACFMinChRt,FswACFMinChRt,IF(AC167&lt;FswACFMax,AC167,FswACFMax))</f>
        <v>420.00000000000006</v>
      </c>
      <c r="AF167">
        <f t="shared" ref="AF167:AF198" si="75">(RDTH2Ch*10^3*P167+IDTH*10^-6*IF(OR(RDTH1Ch="DNI",RDTH1Ch=0),1000000000,RDTH1Ch)*10^3*RDTH2Ch*10^3)/(10^3*(IF(OR(RDTH1Ch="DNI",RDTH1Ch=0),1000000000,RDTH1Ch)+RDTH2Ch))</f>
        <v>0.54677419354838708</v>
      </c>
      <c r="AG167">
        <f t="shared" ref="AG167:AG198" si="76">(RDTH2Ch*10^3*P167+IDTH*10^-6*IF(OR(RDTH1Ch="DNI",RDTH1Ch=0),1000000000,RDTH1Ch)*10^3*RDTH2Ch*10^3)/(10^3*(IF(OR(RDTH1Ch="DNI",RDTH1Ch=0),1000000000,RDTH1Ch)+RDTH2Ch))</f>
        <v>0.54677419354838708</v>
      </c>
      <c r="AH167">
        <f t="shared" ref="AH167:AH198" si="77">(Nch*VinMin*(AF167+Q167-(CompDel*10^-9*FBGain*RSCh*10^-3*VinMin/(Lch*10^-6))-((FBGain*Nch*RSCh*10^-3*VinMin*(Vforward+O167))/(2*AD167*10^3*Lch*10^-6*(VinMin+Nch*(Vforward+O167))))))/(FBGain*RSCh*10^-3*(VinMin+Nch*(Vforward+O167)))</f>
        <v>0.46687830077422549</v>
      </c>
      <c r="AI167">
        <f t="shared" ref="AI167:AI198" si="78">(Nch*VinMax*(AG167+R167-(CompDel*10^-9*FBGain*RSCh*10^-3*VinMax/(Lch*10^-6))-((FBGain*Nch*RSCh*10^-3*VinMax*(Vforward+O167))/(2*AE167*10^3*Lch*10^-6*(VinMax+Nch*(Vforward+O167))))))/(FBGain*RSCh*10^-3*(VinMax+Nch*(Vforward+O167)))</f>
        <v>-0.34728267195338292</v>
      </c>
    </row>
    <row r="168" spans="1:35" x14ac:dyDescent="0.25">
      <c r="A168" t="s">
        <v>320</v>
      </c>
      <c r="B168">
        <f>ROUND((Vccoff+RegDrop+Vforward)*Vmargin*Nsec/VoutTrad,0)</f>
        <v>4</v>
      </c>
      <c r="C168" t="s">
        <v>78</v>
      </c>
      <c r="F168">
        <v>0.33</v>
      </c>
      <c r="G168">
        <f t="shared" si="54"/>
        <v>9.9499999999999993</v>
      </c>
      <c r="H168">
        <f t="shared" si="55"/>
        <v>0.1719753086419753</v>
      </c>
      <c r="I168">
        <f t="shared" si="52"/>
        <v>1.2</v>
      </c>
      <c r="J168">
        <f t="shared" si="56"/>
        <v>0.43417085427135693</v>
      </c>
      <c r="K168">
        <f t="shared" si="57"/>
        <v>0.13589643861293346</v>
      </c>
      <c r="L168">
        <f t="shared" si="53"/>
        <v>1.2</v>
      </c>
      <c r="M168">
        <f t="shared" si="58"/>
        <v>0.43417085427135693</v>
      </c>
      <c r="O168">
        <f t="shared" si="59"/>
        <v>9.9499999999999993</v>
      </c>
      <c r="P168">
        <f t="shared" si="60"/>
        <v>7.4624999999999995</v>
      </c>
      <c r="Q168">
        <f t="shared" si="61"/>
        <v>1.3719599999999998E-2</v>
      </c>
      <c r="R168">
        <f t="shared" si="62"/>
        <v>3.1023599999999995E-2</v>
      </c>
      <c r="S168">
        <f t="shared" si="63"/>
        <v>-5.597834691208986E-2</v>
      </c>
      <c r="T168">
        <f t="shared" si="64"/>
        <v>-0.13007178895308766</v>
      </c>
      <c r="U168">
        <f t="shared" si="65"/>
        <v>0.31955081938576646</v>
      </c>
      <c r="V168">
        <f t="shared" si="66"/>
        <v>0.13749953567338671</v>
      </c>
      <c r="W168">
        <f t="shared" si="67"/>
        <v>137.12551303849509</v>
      </c>
      <c r="X168">
        <f t="shared" si="68"/>
        <v>403.87312212419289</v>
      </c>
      <c r="Y168">
        <f t="shared" si="69"/>
        <v>0.8487507692307692</v>
      </c>
      <c r="Z168">
        <f t="shared" si="70"/>
        <v>0.45147895384615394</v>
      </c>
      <c r="AA168">
        <f t="shared" si="51"/>
        <v>4.5374769230769246E-2</v>
      </c>
      <c r="AB168">
        <f t="shared" si="71"/>
        <v>753.51295646031133</v>
      </c>
      <c r="AC168">
        <f t="shared" si="72"/>
        <v>594.85656264192028</v>
      </c>
      <c r="AD168">
        <f t="shared" si="73"/>
        <v>420.00000000000006</v>
      </c>
      <c r="AE168">
        <f t="shared" si="74"/>
        <v>420.00000000000006</v>
      </c>
      <c r="AF168">
        <f t="shared" si="75"/>
        <v>0.55040322580645162</v>
      </c>
      <c r="AG168">
        <f t="shared" si="76"/>
        <v>0.55040322580645162</v>
      </c>
      <c r="AH168">
        <f t="shared" si="77"/>
        <v>0.46247366911737764</v>
      </c>
      <c r="AI168">
        <f t="shared" si="78"/>
        <v>-0.36223567269970269</v>
      </c>
    </row>
    <row r="169" spans="1:35" x14ac:dyDescent="0.25">
      <c r="A169" t="s">
        <v>321</v>
      </c>
      <c r="B169">
        <f>NauxTot-Naux1</f>
        <v>8</v>
      </c>
      <c r="C169" t="s">
        <v>78</v>
      </c>
      <c r="F169">
        <v>0.34</v>
      </c>
      <c r="G169">
        <f t="shared" si="54"/>
        <v>10.100000000000001</v>
      </c>
      <c r="H169">
        <f t="shared" si="55"/>
        <v>0.17753086419753092</v>
      </c>
      <c r="I169">
        <f t="shared" si="52"/>
        <v>1.2</v>
      </c>
      <c r="J169">
        <f t="shared" si="56"/>
        <v>0.42772277227722777</v>
      </c>
      <c r="K169">
        <f t="shared" si="57"/>
        <v>0.137688847235239</v>
      </c>
      <c r="L169">
        <f t="shared" si="53"/>
        <v>1.2</v>
      </c>
      <c r="M169">
        <f t="shared" si="58"/>
        <v>0.42772277227722777</v>
      </c>
      <c r="O169">
        <f t="shared" si="59"/>
        <v>10.100000000000001</v>
      </c>
      <c r="P169">
        <f t="shared" si="60"/>
        <v>7.5750000000000011</v>
      </c>
      <c r="Q169">
        <f t="shared" si="61"/>
        <v>1.3719599999999998E-2</v>
      </c>
      <c r="R169">
        <f t="shared" si="62"/>
        <v>3.1023599999999995E-2</v>
      </c>
      <c r="S169">
        <f t="shared" si="63"/>
        <v>-5.6247791356534314E-2</v>
      </c>
      <c r="T169">
        <f t="shared" si="64"/>
        <v>-0.13034123339753212</v>
      </c>
      <c r="U169">
        <f t="shared" si="65"/>
        <v>0.32281164761167197</v>
      </c>
      <c r="V169">
        <f t="shared" si="66"/>
        <v>0.13928270214488192</v>
      </c>
      <c r="W169">
        <f t="shared" si="67"/>
        <v>137.1252569551701</v>
      </c>
      <c r="X169">
        <f t="shared" si="68"/>
        <v>403.87303515249761</v>
      </c>
      <c r="Y169">
        <f t="shared" si="69"/>
        <v>0.84880615384615388</v>
      </c>
      <c r="Z169">
        <f t="shared" si="70"/>
        <v>0.45811735384615376</v>
      </c>
      <c r="AA169">
        <f t="shared" si="51"/>
        <v>4.5358153846153833E-2</v>
      </c>
      <c r="AB169">
        <f t="shared" si="71"/>
        <v>756.05401383484798</v>
      </c>
      <c r="AC169">
        <f t="shared" si="72"/>
        <v>598.37664378768329</v>
      </c>
      <c r="AD169">
        <f t="shared" si="73"/>
        <v>420.00000000000006</v>
      </c>
      <c r="AE169">
        <f t="shared" si="74"/>
        <v>420.00000000000006</v>
      </c>
      <c r="AF169">
        <f t="shared" si="75"/>
        <v>0.55403225806451617</v>
      </c>
      <c r="AG169">
        <f t="shared" si="76"/>
        <v>0.55403225806451617</v>
      </c>
      <c r="AH169">
        <f t="shared" si="77"/>
        <v>0.458273130120672</v>
      </c>
      <c r="AI169">
        <f t="shared" si="78"/>
        <v>-0.37698469481625163</v>
      </c>
    </row>
    <row r="170" spans="1:35" x14ac:dyDescent="0.25">
      <c r="A170" t="s">
        <v>315</v>
      </c>
      <c r="B170">
        <f>BobbinMTL*(NauxHigh+Naux1)</f>
        <v>463.07075713913554</v>
      </c>
      <c r="C170" t="s">
        <v>293</v>
      </c>
      <c r="F170">
        <v>0.35</v>
      </c>
      <c r="G170">
        <f t="shared" si="54"/>
        <v>10.25</v>
      </c>
      <c r="H170">
        <f t="shared" si="55"/>
        <v>0.18308641975308643</v>
      </c>
      <c r="I170">
        <f t="shared" si="52"/>
        <v>1.36</v>
      </c>
      <c r="J170">
        <f t="shared" si="56"/>
        <v>0.54134634146341476</v>
      </c>
      <c r="K170">
        <f t="shared" si="57"/>
        <v>0.13948125585754451</v>
      </c>
      <c r="L170">
        <f t="shared" si="53"/>
        <v>1.2</v>
      </c>
      <c r="M170">
        <f t="shared" si="58"/>
        <v>0.42146341463414644</v>
      </c>
      <c r="O170">
        <f t="shared" si="59"/>
        <v>10.25</v>
      </c>
      <c r="P170">
        <f t="shared" si="60"/>
        <v>7.6875</v>
      </c>
      <c r="Q170">
        <f t="shared" si="61"/>
        <v>1.3719599999999998E-2</v>
      </c>
      <c r="R170">
        <f t="shared" si="62"/>
        <v>3.1023599999999995E-2</v>
      </c>
      <c r="S170">
        <f t="shared" si="63"/>
        <v>-5.6517235800978755E-2</v>
      </c>
      <c r="T170">
        <f t="shared" si="64"/>
        <v>-0.13061067784197655</v>
      </c>
      <c r="U170">
        <f t="shared" si="65"/>
        <v>0.32604138401090527</v>
      </c>
      <c r="V170">
        <f t="shared" si="66"/>
        <v>0.14105851141852463</v>
      </c>
      <c r="W170">
        <f t="shared" si="67"/>
        <v>137.12500087184506</v>
      </c>
      <c r="X170">
        <f t="shared" si="68"/>
        <v>403.87294818080233</v>
      </c>
      <c r="Y170">
        <f t="shared" si="69"/>
        <v>0.84886153846153845</v>
      </c>
      <c r="Z170">
        <f t="shared" si="70"/>
        <v>0.46475076923076925</v>
      </c>
      <c r="AA170">
        <f t="shared" si="51"/>
        <v>4.5341538461538461E-2</v>
      </c>
      <c r="AB170">
        <f t="shared" si="71"/>
        <v>758.51592999436764</v>
      </c>
      <c r="AC170">
        <f t="shared" si="72"/>
        <v>601.83105456562373</v>
      </c>
      <c r="AD170">
        <f t="shared" si="73"/>
        <v>420.00000000000006</v>
      </c>
      <c r="AE170">
        <f t="shared" si="74"/>
        <v>420.00000000000006</v>
      </c>
      <c r="AF170">
        <f t="shared" si="75"/>
        <v>0.55766129032258061</v>
      </c>
      <c r="AG170">
        <f t="shared" si="76"/>
        <v>0.55766129032258061</v>
      </c>
      <c r="AH170">
        <f t="shared" si="77"/>
        <v>0.45427146033405696</v>
      </c>
      <c r="AI170">
        <f t="shared" si="78"/>
        <v>-0.39153187867399625</v>
      </c>
    </row>
    <row r="171" spans="1:35" x14ac:dyDescent="0.25">
      <c r="A171" t="s">
        <v>322</v>
      </c>
      <c r="B171">
        <f>SQRT(pcop/(PI()*MuO*MuRC*FswVinminVoutmaxIoutMVout*10^3))</f>
        <v>1.4748203426379446E-4</v>
      </c>
      <c r="C171" t="s">
        <v>323</v>
      </c>
      <c r="F171">
        <v>0.36</v>
      </c>
      <c r="G171">
        <f t="shared" si="54"/>
        <v>10.399999999999999</v>
      </c>
      <c r="H171">
        <f t="shared" si="55"/>
        <v>0.18864197530864193</v>
      </c>
      <c r="I171">
        <f t="shared" si="52"/>
        <v>1.36</v>
      </c>
      <c r="J171">
        <f t="shared" si="56"/>
        <v>0.53353846153846174</v>
      </c>
      <c r="K171">
        <f t="shared" si="57"/>
        <v>0.14127366447985004</v>
      </c>
      <c r="L171">
        <f t="shared" si="53"/>
        <v>1.2</v>
      </c>
      <c r="M171">
        <f t="shared" si="58"/>
        <v>0.41538461538461557</v>
      </c>
      <c r="O171">
        <f t="shared" si="59"/>
        <v>10.399999999999999</v>
      </c>
      <c r="P171">
        <f t="shared" si="60"/>
        <v>7.7999999999999989</v>
      </c>
      <c r="Q171">
        <f t="shared" si="61"/>
        <v>1.3719599999999998E-2</v>
      </c>
      <c r="R171">
        <f t="shared" si="62"/>
        <v>3.1023599999999995E-2</v>
      </c>
      <c r="S171">
        <f t="shared" si="63"/>
        <v>-5.6786680245423188E-2</v>
      </c>
      <c r="T171">
        <f t="shared" si="64"/>
        <v>-0.13088012228642099</v>
      </c>
      <c r="U171">
        <f t="shared" si="65"/>
        <v>0.32924047116189825</v>
      </c>
      <c r="V171">
        <f t="shared" si="66"/>
        <v>0.14282700893336367</v>
      </c>
      <c r="W171">
        <f t="shared" si="67"/>
        <v>137.12474478852005</v>
      </c>
      <c r="X171">
        <f t="shared" si="68"/>
        <v>403.87286120910704</v>
      </c>
      <c r="Y171">
        <f t="shared" si="69"/>
        <v>0.84891692307692301</v>
      </c>
      <c r="Z171">
        <f t="shared" si="70"/>
        <v>0.47137920000000016</v>
      </c>
      <c r="AA171">
        <f t="shared" si="51"/>
        <v>4.5324923076923096E-2</v>
      </c>
      <c r="AB171">
        <f t="shared" si="71"/>
        <v>760.90118452524598</v>
      </c>
      <c r="AC171">
        <f t="shared" si="72"/>
        <v>605.22149539748375</v>
      </c>
      <c r="AD171">
        <f t="shared" si="73"/>
        <v>420.00000000000006</v>
      </c>
      <c r="AE171">
        <f t="shared" si="74"/>
        <v>420.00000000000006</v>
      </c>
      <c r="AF171">
        <f t="shared" si="75"/>
        <v>0.56129032258064515</v>
      </c>
      <c r="AG171">
        <f t="shared" si="76"/>
        <v>0.56129032258064515</v>
      </c>
      <c r="AH171">
        <f t="shared" si="77"/>
        <v>0.4504635789747084</v>
      </c>
      <c r="AI171">
        <f t="shared" si="78"/>
        <v>-0.4058793398031913</v>
      </c>
    </row>
    <row r="172" spans="1:35" x14ac:dyDescent="0.25">
      <c r="A172" t="s">
        <v>324</v>
      </c>
      <c r="B172">
        <f>ROUND(-39*LOG(SkinDepthVinminVoutmaxIoutMVout/(0.000127),92)+36,0)</f>
        <v>35</v>
      </c>
      <c r="F172">
        <v>0.37</v>
      </c>
      <c r="G172">
        <f t="shared" si="54"/>
        <v>10.55</v>
      </c>
      <c r="H172">
        <f t="shared" si="55"/>
        <v>0.19419753086419755</v>
      </c>
      <c r="I172">
        <f t="shared" si="52"/>
        <v>1.36</v>
      </c>
      <c r="J172">
        <f t="shared" si="56"/>
        <v>0.52595260663507126</v>
      </c>
      <c r="K172">
        <f t="shared" si="57"/>
        <v>0.14306607310215558</v>
      </c>
      <c r="L172">
        <f t="shared" si="53"/>
        <v>1.2</v>
      </c>
      <c r="M172">
        <f t="shared" si="58"/>
        <v>0.40947867298578206</v>
      </c>
      <c r="O172">
        <f t="shared" si="59"/>
        <v>10.55</v>
      </c>
      <c r="P172">
        <f t="shared" si="60"/>
        <v>7.9125000000000005</v>
      </c>
      <c r="Q172">
        <f t="shared" si="61"/>
        <v>1.3719599999999998E-2</v>
      </c>
      <c r="R172">
        <f t="shared" si="62"/>
        <v>3.1023599999999995E-2</v>
      </c>
      <c r="S172">
        <f t="shared" si="63"/>
        <v>-5.7056124689867649E-2</v>
      </c>
      <c r="T172">
        <f t="shared" si="64"/>
        <v>-0.13114956673086545</v>
      </c>
      <c r="U172">
        <f t="shared" si="65"/>
        <v>0.33240934328287247</v>
      </c>
      <c r="V172">
        <f t="shared" si="66"/>
        <v>0.14458823975503302</v>
      </c>
      <c r="W172">
        <f t="shared" si="67"/>
        <v>137.12448870519501</v>
      </c>
      <c r="X172">
        <f t="shared" si="68"/>
        <v>403.87277423741176</v>
      </c>
      <c r="Y172">
        <f t="shared" si="69"/>
        <v>0.84897230769230769</v>
      </c>
      <c r="Z172">
        <f t="shared" si="70"/>
        <v>0.47800264615384613</v>
      </c>
      <c r="AA172">
        <f t="shared" si="51"/>
        <v>4.5308307692307689E-2</v>
      </c>
      <c r="AB172">
        <f t="shared" si="71"/>
        <v>763.21215869558398</v>
      </c>
      <c r="AC172">
        <f t="shared" si="72"/>
        <v>608.54960862361474</v>
      </c>
      <c r="AD172">
        <f t="shared" si="73"/>
        <v>420.00000000000006</v>
      </c>
      <c r="AE172">
        <f t="shared" si="74"/>
        <v>420.00000000000006</v>
      </c>
      <c r="AF172">
        <f t="shared" si="75"/>
        <v>0.5649193548387097</v>
      </c>
      <c r="AG172">
        <f t="shared" si="76"/>
        <v>0.5649193548387097</v>
      </c>
      <c r="AH172">
        <f t="shared" si="77"/>
        <v>0.44684454353536479</v>
      </c>
      <c r="AI172">
        <f t="shared" si="78"/>
        <v>-0.42002916922251926</v>
      </c>
    </row>
    <row r="173" spans="1:35" x14ac:dyDescent="0.25">
      <c r="A173" t="s">
        <v>520</v>
      </c>
      <c r="B173">
        <f>(0.0127*92^((36-AWGSp)/19.5))</f>
        <v>1.2699999999999999E-2</v>
      </c>
      <c r="C173" t="s">
        <v>292</v>
      </c>
      <c r="D173">
        <f>(BobbinArea-(Tape*0.0254*2*PSInt+Tape*0.0254*PPSSInt)*Bwindow)*palocation/NpTurns</f>
        <v>0.44646200000000008</v>
      </c>
      <c r="F173">
        <v>0.38</v>
      </c>
      <c r="G173">
        <f t="shared" si="54"/>
        <v>10.7</v>
      </c>
      <c r="H173">
        <f t="shared" si="55"/>
        <v>0.19975308641975303</v>
      </c>
      <c r="I173">
        <f t="shared" si="52"/>
        <v>1.36</v>
      </c>
      <c r="J173">
        <f t="shared" si="56"/>
        <v>0.51857943925233663</v>
      </c>
      <c r="K173">
        <f t="shared" si="57"/>
        <v>0.14485848172446109</v>
      </c>
      <c r="L173">
        <f t="shared" si="53"/>
        <v>1.2</v>
      </c>
      <c r="M173">
        <f t="shared" si="58"/>
        <v>0.40373831775700947</v>
      </c>
      <c r="O173">
        <f t="shared" si="59"/>
        <v>10.7</v>
      </c>
      <c r="P173">
        <f t="shared" si="60"/>
        <v>8.0249999999999986</v>
      </c>
      <c r="Q173">
        <f t="shared" si="61"/>
        <v>1.3719599999999998E-2</v>
      </c>
      <c r="R173">
        <f t="shared" si="62"/>
        <v>3.1023599999999995E-2</v>
      </c>
      <c r="S173">
        <f t="shared" si="63"/>
        <v>-5.7325569134312082E-2</v>
      </c>
      <c r="T173">
        <f t="shared" si="64"/>
        <v>-0.13141901117530988</v>
      </c>
      <c r="U173">
        <f t="shared" si="65"/>
        <v>0.33554842642831462</v>
      </c>
      <c r="V173">
        <f t="shared" si="66"/>
        <v>0.14634224857957973</v>
      </c>
      <c r="W173">
        <f t="shared" si="67"/>
        <v>137.12423262186999</v>
      </c>
      <c r="X173">
        <f t="shared" si="68"/>
        <v>403.87268726571642</v>
      </c>
      <c r="Y173">
        <f t="shared" si="69"/>
        <v>0.84902769230769226</v>
      </c>
      <c r="Z173">
        <f t="shared" si="70"/>
        <v>0.48462110769230776</v>
      </c>
      <c r="AA173">
        <f t="shared" si="51"/>
        <v>4.5291692307692318E-2</v>
      </c>
      <c r="AB173">
        <f t="shared" si="71"/>
        <v>765.45114025260693</v>
      </c>
      <c r="AC173">
        <f t="shared" si="72"/>
        <v>611.81698096167588</v>
      </c>
      <c r="AD173">
        <f t="shared" si="73"/>
        <v>420.00000000000006</v>
      </c>
      <c r="AE173">
        <f t="shared" si="74"/>
        <v>420.00000000000006</v>
      </c>
      <c r="AF173">
        <f t="shared" si="75"/>
        <v>0.56854838709677424</v>
      </c>
      <c r="AG173">
        <f t="shared" si="76"/>
        <v>0.56854838709677424</v>
      </c>
      <c r="AH173">
        <f t="shared" si="77"/>
        <v>0.44340954554523715</v>
      </c>
      <c r="AI173">
        <f t="shared" si="78"/>
        <v>-0.43398343376326726</v>
      </c>
    </row>
    <row r="174" spans="1:35" x14ac:dyDescent="0.25">
      <c r="A174" t="s">
        <v>538</v>
      </c>
      <c r="B174">
        <f>(0.0127*92^((36-AWGSec)/19.5))</f>
        <v>2.0193790998675562E-2</v>
      </c>
      <c r="C174" t="s">
        <v>476</v>
      </c>
      <c r="F174">
        <v>0.39</v>
      </c>
      <c r="G174">
        <f t="shared" si="54"/>
        <v>10.850000000000001</v>
      </c>
      <c r="H174">
        <f t="shared" si="55"/>
        <v>0.20530864197530871</v>
      </c>
      <c r="I174">
        <f t="shared" si="52"/>
        <v>1.36</v>
      </c>
      <c r="J174">
        <f t="shared" si="56"/>
        <v>0.51141013824884807</v>
      </c>
      <c r="K174">
        <f t="shared" si="57"/>
        <v>0.14665089034676665</v>
      </c>
      <c r="L174">
        <f t="shared" si="53"/>
        <v>1.2</v>
      </c>
      <c r="M174">
        <f t="shared" si="58"/>
        <v>0.39815668202764981</v>
      </c>
      <c r="O174">
        <f t="shared" si="59"/>
        <v>10.850000000000001</v>
      </c>
      <c r="P174">
        <f t="shared" si="60"/>
        <v>8.1375000000000011</v>
      </c>
      <c r="Q174">
        <f t="shared" si="61"/>
        <v>1.3719599999999998E-2</v>
      </c>
      <c r="R174">
        <f t="shared" si="62"/>
        <v>3.1023599999999995E-2</v>
      </c>
      <c r="S174">
        <f t="shared" si="63"/>
        <v>-5.7595013578756543E-2</v>
      </c>
      <c r="T174">
        <f t="shared" si="64"/>
        <v>-0.13168845561975434</v>
      </c>
      <c r="U174">
        <f t="shared" si="65"/>
        <v>0.33865813867993699</v>
      </c>
      <c r="V174">
        <f t="shared" si="66"/>
        <v>0.14808907973724508</v>
      </c>
      <c r="W174">
        <f t="shared" si="67"/>
        <v>137.12397653854498</v>
      </c>
      <c r="X174">
        <f t="shared" si="68"/>
        <v>403.8726002940212</v>
      </c>
      <c r="Y174">
        <f t="shared" si="69"/>
        <v>0.84908307692307694</v>
      </c>
      <c r="Z174">
        <f t="shared" si="70"/>
        <v>0.49123458461538461</v>
      </c>
      <c r="AA174">
        <f t="shared" si="51"/>
        <v>4.5275076923076918E-2</v>
      </c>
      <c r="AB174">
        <f t="shared" si="71"/>
        <v>767.62032794210415</v>
      </c>
      <c r="AC174">
        <f t="shared" si="72"/>
        <v>615.02514584148423</v>
      </c>
      <c r="AD174">
        <f t="shared" si="73"/>
        <v>420.00000000000006</v>
      </c>
      <c r="AE174">
        <f t="shared" si="74"/>
        <v>420.00000000000006</v>
      </c>
      <c r="AF174">
        <f t="shared" si="75"/>
        <v>0.57217741935483868</v>
      </c>
      <c r="AG174">
        <f t="shared" si="76"/>
        <v>0.57217741935483868</v>
      </c>
      <c r="AH174">
        <f t="shared" si="77"/>
        <v>0.44015390647754637</v>
      </c>
      <c r="AI174">
        <f t="shared" si="78"/>
        <v>-0.44774417638864172</v>
      </c>
    </row>
    <row r="175" spans="1:35" x14ac:dyDescent="0.25">
      <c r="A175" t="s">
        <v>539</v>
      </c>
      <c r="B175">
        <f>PriNumWireCh</f>
        <v>5</v>
      </c>
      <c r="C175" t="s">
        <v>195</v>
      </c>
      <c r="F175">
        <v>0.4</v>
      </c>
      <c r="G175">
        <f t="shared" si="54"/>
        <v>11</v>
      </c>
      <c r="H175">
        <f t="shared" si="55"/>
        <v>0.21086419753086419</v>
      </c>
      <c r="I175">
        <f t="shared" si="52"/>
        <v>1.36</v>
      </c>
      <c r="J175">
        <f t="shared" si="56"/>
        <v>0.50443636363636379</v>
      </c>
      <c r="K175">
        <f t="shared" si="57"/>
        <v>0.14844329896907216</v>
      </c>
      <c r="L175">
        <f t="shared" si="53"/>
        <v>1.2</v>
      </c>
      <c r="M175">
        <f t="shared" si="58"/>
        <v>0.39272727272727281</v>
      </c>
      <c r="O175">
        <f t="shared" si="59"/>
        <v>11</v>
      </c>
      <c r="P175">
        <f t="shared" si="60"/>
        <v>8.25</v>
      </c>
      <c r="Q175">
        <f t="shared" si="61"/>
        <v>1.3719599999999998E-2</v>
      </c>
      <c r="R175">
        <f t="shared" si="62"/>
        <v>3.1023599999999995E-2</v>
      </c>
      <c r="S175">
        <f t="shared" si="63"/>
        <v>-5.7864458023200976E-2</v>
      </c>
      <c r="T175">
        <f t="shared" si="64"/>
        <v>-0.13195790006419877</v>
      </c>
      <c r="U175">
        <f t="shared" si="65"/>
        <v>0.34173889033230215</v>
      </c>
      <c r="V175">
        <f t="shared" si="66"/>
        <v>0.14982877719619914</v>
      </c>
      <c r="W175">
        <f t="shared" si="67"/>
        <v>137.12372045521994</v>
      </c>
      <c r="X175">
        <f t="shared" si="68"/>
        <v>403.87251332232591</v>
      </c>
      <c r="Y175">
        <f t="shared" si="69"/>
        <v>0.84913846153846151</v>
      </c>
      <c r="Z175">
        <f t="shared" si="70"/>
        <v>0.497843076923077</v>
      </c>
      <c r="AA175">
        <f t="shared" si="51"/>
        <v>4.5258461538461546E-2</v>
      </c>
      <c r="AB175">
        <f t="shared" si="71"/>
        <v>769.72183576851501</v>
      </c>
      <c r="AC175">
        <f t="shared" si="72"/>
        <v>618.17558562323291</v>
      </c>
      <c r="AD175">
        <f t="shared" si="73"/>
        <v>420.00000000000006</v>
      </c>
      <c r="AE175">
        <f t="shared" si="74"/>
        <v>420.00000000000006</v>
      </c>
      <c r="AF175">
        <f t="shared" si="75"/>
        <v>0.57580645161290323</v>
      </c>
      <c r="AG175">
        <f t="shared" si="76"/>
        <v>0.57580645161290323</v>
      </c>
      <c r="AH175">
        <f t="shared" si="77"/>
        <v>0.4370730737980203</v>
      </c>
      <c r="AI175">
        <f t="shared" si="78"/>
        <v>-0.46131341650827795</v>
      </c>
    </row>
    <row r="176" spans="1:35" x14ac:dyDescent="0.25">
      <c r="A176" t="s">
        <v>540</v>
      </c>
      <c r="B176">
        <f>SecNumWireCh</f>
        <v>15</v>
      </c>
      <c r="C176" t="s">
        <v>195</v>
      </c>
      <c r="F176">
        <v>0.41</v>
      </c>
      <c r="G176">
        <f t="shared" si="54"/>
        <v>11.149999999999999</v>
      </c>
      <c r="H176">
        <f t="shared" si="55"/>
        <v>0.2164197530864197</v>
      </c>
      <c r="I176">
        <f t="shared" si="52"/>
        <v>1.36</v>
      </c>
      <c r="J176">
        <f t="shared" si="56"/>
        <v>0.49765022421524685</v>
      </c>
      <c r="K176">
        <f t="shared" si="57"/>
        <v>0.15023570759137767</v>
      </c>
      <c r="L176">
        <f t="shared" si="53"/>
        <v>1.2</v>
      </c>
      <c r="M176">
        <f t="shared" si="58"/>
        <v>0.38744394618834094</v>
      </c>
      <c r="O176">
        <f t="shared" si="59"/>
        <v>11.149999999999999</v>
      </c>
      <c r="P176">
        <f t="shared" si="60"/>
        <v>8.3624999999999989</v>
      </c>
      <c r="Q176">
        <f t="shared" si="61"/>
        <v>1.3719599999999998E-2</v>
      </c>
      <c r="R176">
        <f t="shared" si="62"/>
        <v>3.1023599999999995E-2</v>
      </c>
      <c r="S176">
        <f t="shared" si="63"/>
        <v>-5.8133902467645417E-2</v>
      </c>
      <c r="T176">
        <f t="shared" si="64"/>
        <v>-0.13222734450864321</v>
      </c>
      <c r="U176">
        <f t="shared" si="65"/>
        <v>0.34479108407328657</v>
      </c>
      <c r="V176">
        <f t="shared" si="66"/>
        <v>0.15156138456622989</v>
      </c>
      <c r="W176">
        <f t="shared" si="67"/>
        <v>137.1234643718949</v>
      </c>
      <c r="X176">
        <f t="shared" si="68"/>
        <v>403.87242635063058</v>
      </c>
      <c r="Y176">
        <f t="shared" si="69"/>
        <v>0.84919384615384619</v>
      </c>
      <c r="Z176">
        <f t="shared" si="70"/>
        <v>0.50444658461538439</v>
      </c>
      <c r="AA176">
        <f t="shared" si="51"/>
        <v>4.5241846153846139E-2</v>
      </c>
      <c r="AB176">
        <f t="shared" si="71"/>
        <v>771.7576970128622</v>
      </c>
      <c r="AC176">
        <f t="shared" si="72"/>
        <v>621.269733705818</v>
      </c>
      <c r="AD176">
        <f t="shared" si="73"/>
        <v>420.00000000000006</v>
      </c>
      <c r="AE176">
        <f t="shared" si="74"/>
        <v>420.00000000000006</v>
      </c>
      <c r="AF176">
        <f t="shared" si="75"/>
        <v>0.57943548387096777</v>
      </c>
      <c r="AG176">
        <f t="shared" si="76"/>
        <v>0.57943548387096777</v>
      </c>
      <c r="AH176">
        <f t="shared" si="77"/>
        <v>0.43416261714891025</v>
      </c>
      <c r="AI176">
        <f t="shared" si="78"/>
        <v>-0.47469315028805531</v>
      </c>
    </row>
    <row r="177" spans="1:35" x14ac:dyDescent="0.25">
      <c r="A177" t="s">
        <v>521</v>
      </c>
      <c r="B177">
        <f>ROUND(((BobbinArea-(Tape*0.0254*2*PSInt+Tape*0.0254*PPSSInt)*Bwindow)*palocation/NpTurns)/(CrossSectionalAreaofWire*NpriLayers)*CircleInCircle*0.65*0.8,0)</f>
        <v>5</v>
      </c>
      <c r="C177" t="s">
        <v>195</v>
      </c>
      <c r="D177" t="s">
        <v>524</v>
      </c>
      <c r="F177">
        <v>0.42</v>
      </c>
      <c r="G177">
        <f t="shared" si="54"/>
        <v>11.3</v>
      </c>
      <c r="H177">
        <f t="shared" si="55"/>
        <v>0.22197530864197537</v>
      </c>
      <c r="I177">
        <f t="shared" si="52"/>
        <v>1.52</v>
      </c>
      <c r="J177">
        <f t="shared" si="56"/>
        <v>0.61338053097345135</v>
      </c>
      <c r="K177">
        <f t="shared" si="57"/>
        <v>0.15202811621368323</v>
      </c>
      <c r="L177">
        <f t="shared" si="53"/>
        <v>1.2</v>
      </c>
      <c r="M177">
        <f t="shared" si="58"/>
        <v>0.38230088495575232</v>
      </c>
      <c r="O177">
        <f t="shared" si="59"/>
        <v>11.3</v>
      </c>
      <c r="P177">
        <f t="shared" si="60"/>
        <v>8.4750000000000014</v>
      </c>
      <c r="Q177">
        <f t="shared" si="61"/>
        <v>1.3719599999999998E-2</v>
      </c>
      <c r="R177">
        <f t="shared" si="62"/>
        <v>3.1023599999999995E-2</v>
      </c>
      <c r="S177">
        <f t="shared" si="63"/>
        <v>-5.8403346912089871E-2</v>
      </c>
      <c r="T177">
        <f t="shared" si="64"/>
        <v>-0.13249678895308767</v>
      </c>
      <c r="U177">
        <f t="shared" si="65"/>
        <v>0.34781511515954805</v>
      </c>
      <c r="V177">
        <f t="shared" si="66"/>
        <v>0.15328694510238725</v>
      </c>
      <c r="W177">
        <f t="shared" si="67"/>
        <v>137.12320828856988</v>
      </c>
      <c r="X177">
        <f t="shared" si="68"/>
        <v>403.87233937893529</v>
      </c>
      <c r="Y177">
        <f t="shared" si="69"/>
        <v>0.84924923076923076</v>
      </c>
      <c r="Z177">
        <f t="shared" si="70"/>
        <v>0.51104510769230771</v>
      </c>
      <c r="AA177">
        <f t="shared" si="51"/>
        <v>4.5225230769230768E-2</v>
      </c>
      <c r="AB177">
        <f t="shared" si="71"/>
        <v>773.7298680244329</v>
      </c>
      <c r="AC177">
        <f t="shared" si="72"/>
        <v>624.30897653157695</v>
      </c>
      <c r="AD177">
        <f t="shared" si="73"/>
        <v>420.00000000000006</v>
      </c>
      <c r="AE177">
        <f t="shared" si="74"/>
        <v>420.00000000000006</v>
      </c>
      <c r="AF177">
        <f t="shared" si="75"/>
        <v>0.58306451612903221</v>
      </c>
      <c r="AG177">
        <f t="shared" si="76"/>
        <v>0.58306451612903221</v>
      </c>
      <c r="AH177">
        <f t="shared" si="77"/>
        <v>0.43141822466333341</v>
      </c>
      <c r="AI177">
        <f t="shared" si="78"/>
        <v>-0.48788535095527147</v>
      </c>
    </row>
    <row r="178" spans="1:35" x14ac:dyDescent="0.25">
      <c r="A178" t="s">
        <v>522</v>
      </c>
      <c r="B178">
        <f>ROUND(((BobbinArea-(Tape*0.0254*2*PSInt+Tape*0.0254*PPSSInt)*Bwindow)*salocation/Nsec)/(CrossSectionalAreaofWireSec*NSecLayers)*CircleInCircle*0.65*0.8*InsulationSpace,0)</f>
        <v>15</v>
      </c>
      <c r="C178" t="s">
        <v>195</v>
      </c>
      <c r="D178" t="s">
        <v>523</v>
      </c>
      <c r="F178">
        <v>0.43</v>
      </c>
      <c r="G178">
        <f t="shared" si="54"/>
        <v>11.45</v>
      </c>
      <c r="H178">
        <f t="shared" si="55"/>
        <v>0.2275308641975308</v>
      </c>
      <c r="I178">
        <f t="shared" si="52"/>
        <v>1.52</v>
      </c>
      <c r="J178">
        <f t="shared" si="56"/>
        <v>0.60534497816593891</v>
      </c>
      <c r="K178">
        <f t="shared" si="57"/>
        <v>0.15382052483598874</v>
      </c>
      <c r="L178">
        <f t="shared" si="53"/>
        <v>1.2</v>
      </c>
      <c r="M178">
        <f t="shared" si="58"/>
        <v>0.3772925764192141</v>
      </c>
      <c r="O178">
        <f t="shared" si="59"/>
        <v>11.45</v>
      </c>
      <c r="P178">
        <f t="shared" si="60"/>
        <v>8.5874999999999986</v>
      </c>
      <c r="Q178">
        <f t="shared" si="61"/>
        <v>1.3719599999999998E-2</v>
      </c>
      <c r="R178">
        <f t="shared" si="62"/>
        <v>3.1023599999999995E-2</v>
      </c>
      <c r="S178">
        <f t="shared" si="63"/>
        <v>-5.8672791356534311E-2</v>
      </c>
      <c r="T178">
        <f t="shared" si="64"/>
        <v>-0.1327662333975321</v>
      </c>
      <c r="U178">
        <f t="shared" si="65"/>
        <v>0.35081137158715825</v>
      </c>
      <c r="V178">
        <f t="shared" si="66"/>
        <v>0.15500550170858249</v>
      </c>
      <c r="W178">
        <f t="shared" si="67"/>
        <v>137.12295220524487</v>
      </c>
      <c r="X178">
        <f t="shared" si="68"/>
        <v>403.87225240723996</v>
      </c>
      <c r="Y178">
        <f t="shared" si="69"/>
        <v>0.84930461538461532</v>
      </c>
      <c r="Z178">
        <f t="shared" si="70"/>
        <v>0.51763864615384625</v>
      </c>
      <c r="AA178">
        <f t="shared" si="51"/>
        <v>4.5208615384615396E-2</v>
      </c>
      <c r="AB178">
        <f t="shared" si="71"/>
        <v>775.64023180093625</v>
      </c>
      <c r="AC178">
        <f t="shared" si="72"/>
        <v>627.29465549332269</v>
      </c>
      <c r="AD178">
        <f t="shared" si="73"/>
        <v>420.00000000000006</v>
      </c>
      <c r="AE178">
        <f t="shared" si="74"/>
        <v>420.00000000000006</v>
      </c>
      <c r="AF178">
        <f t="shared" si="75"/>
        <v>0.58669354838709675</v>
      </c>
      <c r="AG178">
        <f t="shared" si="76"/>
        <v>0.58669354838709675</v>
      </c>
      <c r="AH178">
        <f t="shared" si="77"/>
        <v>0.42883569940496258</v>
      </c>
      <c r="AI178">
        <f t="shared" si="78"/>
        <v>-0.50089196909926359</v>
      </c>
    </row>
    <row r="179" spans="1:35" x14ac:dyDescent="0.25">
      <c r="A179" t="s">
        <v>526</v>
      </c>
      <c r="B179">
        <f>pcop*PriLength/1000/(CrossSectionalAreaofWire*10^-6)</f>
        <v>1.3524185319453634</v>
      </c>
      <c r="F179">
        <v>0.44</v>
      </c>
      <c r="G179">
        <f t="shared" si="54"/>
        <v>11.6</v>
      </c>
      <c r="H179">
        <f t="shared" si="55"/>
        <v>0.23308641975308639</v>
      </c>
      <c r="I179">
        <f t="shared" si="52"/>
        <v>1.52</v>
      </c>
      <c r="J179">
        <f t="shared" si="56"/>
        <v>0.59751724137931039</v>
      </c>
      <c r="K179">
        <f t="shared" si="57"/>
        <v>0.15561293345829427</v>
      </c>
      <c r="L179">
        <f t="shared" si="53"/>
        <v>1.2</v>
      </c>
      <c r="M179">
        <f t="shared" si="58"/>
        <v>0.37241379310344841</v>
      </c>
      <c r="O179">
        <f t="shared" si="59"/>
        <v>11.6</v>
      </c>
      <c r="P179">
        <f t="shared" si="60"/>
        <v>8.6999999999999993</v>
      </c>
      <c r="Q179">
        <f t="shared" si="61"/>
        <v>1.3719599999999998E-2</v>
      </c>
      <c r="R179">
        <f t="shared" si="62"/>
        <v>3.1023599999999995E-2</v>
      </c>
      <c r="S179">
        <f t="shared" si="63"/>
        <v>-5.8942235800978751E-2</v>
      </c>
      <c r="T179">
        <f t="shared" si="64"/>
        <v>-0.13303567784197654</v>
      </c>
      <c r="U179">
        <f t="shared" si="65"/>
        <v>0.35378023425755589</v>
      </c>
      <c r="V179">
        <f t="shared" si="66"/>
        <v>0.15671709694114458</v>
      </c>
      <c r="W179">
        <f t="shared" si="67"/>
        <v>137.12269612191983</v>
      </c>
      <c r="X179">
        <f t="shared" si="68"/>
        <v>403.87216543554467</v>
      </c>
      <c r="Y179">
        <f t="shared" si="69"/>
        <v>0.84936</v>
      </c>
      <c r="Z179">
        <f t="shared" si="70"/>
        <v>0.5242272</v>
      </c>
      <c r="AA179">
        <f t="shared" si="51"/>
        <v>4.5192000000000003E-2</v>
      </c>
      <c r="AB179">
        <f t="shared" si="71"/>
        <v>777.49060137077231</v>
      </c>
      <c r="AC179">
        <f t="shared" si="72"/>
        <v>630.22806874918933</v>
      </c>
      <c r="AD179">
        <f t="shared" si="73"/>
        <v>420.00000000000006</v>
      </c>
      <c r="AE179">
        <f t="shared" si="74"/>
        <v>420.00000000000006</v>
      </c>
      <c r="AF179">
        <f t="shared" si="75"/>
        <v>0.5903225806451613</v>
      </c>
      <c r="AG179">
        <f t="shared" si="76"/>
        <v>0.5903225806451613</v>
      </c>
      <c r="AH179">
        <f t="shared" si="77"/>
        <v>0.4264109559282801</v>
      </c>
      <c r="AI179">
        <f t="shared" si="78"/>
        <v>-0.5137149329675651</v>
      </c>
    </row>
    <row r="180" spans="1:35" x14ac:dyDescent="0.25">
      <c r="A180" t="s">
        <v>541</v>
      </c>
      <c r="F180">
        <v>0.45</v>
      </c>
      <c r="G180">
        <f t="shared" si="54"/>
        <v>11.75</v>
      </c>
      <c r="H180">
        <f t="shared" si="55"/>
        <v>0.23864197530864198</v>
      </c>
      <c r="I180">
        <f t="shared" si="52"/>
        <v>1.52</v>
      </c>
      <c r="J180">
        <f t="shared" si="56"/>
        <v>0.58988936170212769</v>
      </c>
      <c r="K180">
        <f t="shared" si="57"/>
        <v>0.15740534208059981</v>
      </c>
      <c r="L180">
        <f t="shared" si="53"/>
        <v>1.2</v>
      </c>
      <c r="M180">
        <f t="shared" si="58"/>
        <v>0.36765957446808523</v>
      </c>
      <c r="O180">
        <f t="shared" si="59"/>
        <v>11.75</v>
      </c>
      <c r="P180">
        <f t="shared" si="60"/>
        <v>8.8125</v>
      </c>
      <c r="Q180">
        <f t="shared" si="61"/>
        <v>1.3719599999999998E-2</v>
      </c>
      <c r="R180">
        <f t="shared" si="62"/>
        <v>3.1023599999999995E-2</v>
      </c>
      <c r="S180">
        <f t="shared" si="63"/>
        <v>-5.9211680245423198E-2</v>
      </c>
      <c r="T180">
        <f t="shared" si="64"/>
        <v>-0.133305122286421</v>
      </c>
      <c r="U180">
        <f t="shared" si="65"/>
        <v>0.35672207713896797</v>
      </c>
      <c r="V180">
        <f t="shared" si="66"/>
        <v>0.15842177301233248</v>
      </c>
      <c r="W180">
        <f t="shared" si="67"/>
        <v>137.12244003859482</v>
      </c>
      <c r="X180">
        <f t="shared" si="68"/>
        <v>403.8720784638495</v>
      </c>
      <c r="Y180">
        <f t="shared" si="69"/>
        <v>0.84941538461538457</v>
      </c>
      <c r="Z180">
        <f t="shared" si="70"/>
        <v>0.53081076923076942</v>
      </c>
      <c r="AA180">
        <f t="shared" si="51"/>
        <v>4.5175384615384631E-2</v>
      </c>
      <c r="AB180">
        <f t="shared" si="71"/>
        <v>779.28272299005494</v>
      </c>
      <c r="AC180">
        <f t="shared" si="72"/>
        <v>633.11047295044307</v>
      </c>
      <c r="AD180">
        <f t="shared" si="73"/>
        <v>420.00000000000006</v>
      </c>
      <c r="AE180">
        <f t="shared" si="74"/>
        <v>420.00000000000006</v>
      </c>
      <c r="AF180">
        <f t="shared" si="75"/>
        <v>0.59395161290322585</v>
      </c>
      <c r="AG180">
        <f t="shared" si="76"/>
        <v>0.59395161290322585</v>
      </c>
      <c r="AH180">
        <f t="shared" si="77"/>
        <v>0.42414001695484893</v>
      </c>
      <c r="AI180">
        <f t="shared" si="78"/>
        <v>-0.52635614875764536</v>
      </c>
    </row>
    <row r="181" spans="1:35" x14ac:dyDescent="0.25">
      <c r="A181" t="s">
        <v>531</v>
      </c>
      <c r="B181" s="80">
        <v>0.45</v>
      </c>
      <c r="C181" t="s">
        <v>532</v>
      </c>
      <c r="D181" s="81" t="s">
        <v>533</v>
      </c>
      <c r="F181">
        <v>0.46</v>
      </c>
      <c r="G181">
        <f t="shared" si="54"/>
        <v>11.9</v>
      </c>
      <c r="H181">
        <f t="shared" si="55"/>
        <v>0.24419753086419757</v>
      </c>
      <c r="I181">
        <f t="shared" si="52"/>
        <v>1.52</v>
      </c>
      <c r="J181">
        <f t="shared" si="56"/>
        <v>0.58245378151260507</v>
      </c>
      <c r="K181">
        <f t="shared" si="57"/>
        <v>0.15919775070290534</v>
      </c>
      <c r="L181">
        <f t="shared" si="53"/>
        <v>1.2</v>
      </c>
      <c r="M181">
        <f t="shared" si="58"/>
        <v>0.36302521008403371</v>
      </c>
      <c r="O181">
        <f t="shared" si="59"/>
        <v>11.9</v>
      </c>
      <c r="P181">
        <f t="shared" si="60"/>
        <v>8.9250000000000007</v>
      </c>
      <c r="Q181">
        <f t="shared" si="61"/>
        <v>1.3719599999999998E-2</v>
      </c>
      <c r="R181">
        <f t="shared" si="62"/>
        <v>3.1023599999999995E-2</v>
      </c>
      <c r="S181">
        <f t="shared" si="63"/>
        <v>-5.9481124689867645E-2</v>
      </c>
      <c r="T181">
        <f t="shared" si="64"/>
        <v>-0.13357456673086546</v>
      </c>
      <c r="U181">
        <f t="shared" si="65"/>
        <v>0.35963726742344415</v>
      </c>
      <c r="V181">
        <f t="shared" si="66"/>
        <v>0.16011957179380573</v>
      </c>
      <c r="W181">
        <f t="shared" si="67"/>
        <v>137.12218395526975</v>
      </c>
      <c r="X181">
        <f t="shared" si="68"/>
        <v>403.87199149215422</v>
      </c>
      <c r="Y181">
        <f t="shared" si="69"/>
        <v>0.84947076923076925</v>
      </c>
      <c r="Z181">
        <f t="shared" si="70"/>
        <v>0.53738935384615372</v>
      </c>
      <c r="AA181">
        <f t="shared" si="51"/>
        <v>4.5158769230769218E-2</v>
      </c>
      <c r="AB181">
        <f t="shared" si="71"/>
        <v>781.01827916611956</v>
      </c>
      <c r="AC181">
        <f t="shared" si="72"/>
        <v>635.9430848870918</v>
      </c>
      <c r="AD181">
        <f t="shared" si="73"/>
        <v>420.00000000000006</v>
      </c>
      <c r="AE181">
        <f t="shared" si="74"/>
        <v>420.00000000000006</v>
      </c>
      <c r="AF181">
        <f t="shared" si="75"/>
        <v>0.59758064516129028</v>
      </c>
      <c r="AG181">
        <f t="shared" si="76"/>
        <v>0.59758064516129028</v>
      </c>
      <c r="AH181">
        <f t="shared" si="77"/>
        <v>0.4220190101612098</v>
      </c>
      <c r="AI181">
        <f t="shared" si="78"/>
        <v>-0.53881750090433467</v>
      </c>
    </row>
    <row r="182" spans="1:35" x14ac:dyDescent="0.25">
      <c r="A182" t="s">
        <v>529</v>
      </c>
      <c r="B182" s="80">
        <v>0.6</v>
      </c>
      <c r="C182" t="s">
        <v>530</v>
      </c>
      <c r="F182">
        <v>0.47</v>
      </c>
      <c r="G182">
        <f t="shared" si="54"/>
        <v>12.05</v>
      </c>
      <c r="H182">
        <f t="shared" si="55"/>
        <v>0.24975308641975316</v>
      </c>
      <c r="I182">
        <f t="shared" si="52"/>
        <v>1.52</v>
      </c>
      <c r="J182">
        <f t="shared" si="56"/>
        <v>0.57520331950207471</v>
      </c>
      <c r="K182">
        <f t="shared" si="57"/>
        <v>0.16099015932521088</v>
      </c>
      <c r="L182">
        <f t="shared" si="53"/>
        <v>1.2</v>
      </c>
      <c r="M182">
        <f t="shared" si="58"/>
        <v>0.3585062240663901</v>
      </c>
      <c r="O182">
        <f t="shared" si="59"/>
        <v>12.05</v>
      </c>
      <c r="P182">
        <f t="shared" si="60"/>
        <v>9.0375000000000014</v>
      </c>
      <c r="Q182">
        <f t="shared" si="61"/>
        <v>1.3719599999999998E-2</v>
      </c>
      <c r="R182">
        <f t="shared" si="62"/>
        <v>3.1023599999999995E-2</v>
      </c>
      <c r="S182">
        <f t="shared" si="63"/>
        <v>-5.9750569134312093E-2</v>
      </c>
      <c r="T182">
        <f t="shared" si="64"/>
        <v>-0.13384401117530989</v>
      </c>
      <c r="U182">
        <f t="shared" si="65"/>
        <v>0.36252616567964246</v>
      </c>
      <c r="V182">
        <f t="shared" si="66"/>
        <v>0.16181053482005267</v>
      </c>
      <c r="W182">
        <f t="shared" si="67"/>
        <v>137.12192787194473</v>
      </c>
      <c r="X182">
        <f t="shared" si="68"/>
        <v>403.87190452045883</v>
      </c>
      <c r="Y182">
        <f t="shared" si="69"/>
        <v>0.84952615384615382</v>
      </c>
      <c r="Z182">
        <f t="shared" si="70"/>
        <v>0.54396295384615401</v>
      </c>
      <c r="AA182">
        <f t="shared" si="51"/>
        <v>4.514215384615386E-2</v>
      </c>
      <c r="AB182">
        <f t="shared" si="71"/>
        <v>782.69889151839664</v>
      </c>
      <c r="AC182">
        <f t="shared" si="72"/>
        <v>638.72708305581989</v>
      </c>
      <c r="AD182">
        <f t="shared" si="73"/>
        <v>420.00000000000006</v>
      </c>
      <c r="AE182">
        <f t="shared" si="74"/>
        <v>420.00000000000006</v>
      </c>
      <c r="AF182">
        <f t="shared" si="75"/>
        <v>0.60120967741935483</v>
      </c>
      <c r="AG182">
        <f t="shared" si="76"/>
        <v>0.60120967741935483</v>
      </c>
      <c r="AH182">
        <f t="shared" si="77"/>
        <v>0.42004416507421966</v>
      </c>
      <c r="AI182">
        <f t="shared" si="78"/>
        <v>-0.55110085236298456</v>
      </c>
    </row>
    <row r="183" spans="1:35" x14ac:dyDescent="0.25">
      <c r="A183" t="s">
        <v>325</v>
      </c>
      <c r="B183">
        <f>10^(-(AWGSp+10)/20)*25.4</f>
        <v>0.12730155734132712</v>
      </c>
      <c r="C183" t="s">
        <v>326</v>
      </c>
      <c r="F183">
        <v>0.48</v>
      </c>
      <c r="G183">
        <f t="shared" si="54"/>
        <v>12.2</v>
      </c>
      <c r="H183">
        <f t="shared" si="55"/>
        <v>0.25530864197530856</v>
      </c>
      <c r="I183">
        <f t="shared" ref="I183:I210" si="79">IF(H183&lt;0.05,1.04,IF(H183&lt;0.18,1.2,IF(H183&lt;0.22,1.36,IF(H183&lt;0.27,1.52,IF(H183&lt;0.33,1.68,IF(H183&lt;0.39,1.84,IF(H183&lt;0.46,2,IF(H183&lt;0.54,2.16,IF(H183&lt;0.63,2.32,IF(H183&lt;0.74,2.48,IF(H183&lt;0.87,2.64,IF(H183&lt;1.02,2.8,IF(H183&lt;1.19,2.96,IF(H183&lt;1.39,3.12,IF(H183&lt;1.63,3.28)))))))))))))))</f>
        <v>1.52</v>
      </c>
      <c r="J183">
        <f t="shared" si="56"/>
        <v>0.56813114754098371</v>
      </c>
      <c r="K183">
        <f t="shared" si="57"/>
        <v>0.16278256794751639</v>
      </c>
      <c r="L183">
        <f t="shared" si="53"/>
        <v>1.2</v>
      </c>
      <c r="M183">
        <f t="shared" si="58"/>
        <v>0.3540983606557378</v>
      </c>
      <c r="O183">
        <f t="shared" si="59"/>
        <v>12.2</v>
      </c>
      <c r="P183">
        <f t="shared" si="60"/>
        <v>9.1499999999999986</v>
      </c>
      <c r="Q183">
        <f t="shared" si="61"/>
        <v>1.3719599999999998E-2</v>
      </c>
      <c r="R183">
        <f t="shared" si="62"/>
        <v>3.1023599999999995E-2</v>
      </c>
      <c r="S183">
        <f t="shared" si="63"/>
        <v>-6.0020013578756533E-2</v>
      </c>
      <c r="T183">
        <f t="shared" si="64"/>
        <v>-0.13411345561975432</v>
      </c>
      <c r="U183">
        <f t="shared" si="65"/>
        <v>0.36538912600149892</v>
      </c>
      <c r="V183">
        <f t="shared" si="66"/>
        <v>0.16349470329177737</v>
      </c>
      <c r="W183">
        <f t="shared" si="67"/>
        <v>137.12167178861969</v>
      </c>
      <c r="X183">
        <f t="shared" si="68"/>
        <v>403.87181754876354</v>
      </c>
      <c r="Y183">
        <f t="shared" si="69"/>
        <v>0.8495815384615385</v>
      </c>
      <c r="Z183">
        <f t="shared" si="70"/>
        <v>0.55053156923076907</v>
      </c>
      <c r="AA183">
        <f t="shared" si="51"/>
        <v>4.5125538461538453E-2</v>
      </c>
      <c r="AB183">
        <f t="shared" si="71"/>
        <v>784.32612348677424</v>
      </c>
      <c r="AC183">
        <f t="shared" si="72"/>
        <v>641.4636091544902</v>
      </c>
      <c r="AD183">
        <f t="shared" si="73"/>
        <v>420.00000000000006</v>
      </c>
      <c r="AE183">
        <f t="shared" si="74"/>
        <v>420.00000000000006</v>
      </c>
      <c r="AF183">
        <f t="shared" si="75"/>
        <v>0.60483870967741937</v>
      </c>
      <c r="AG183">
        <f t="shared" si="76"/>
        <v>0.60483870967741937</v>
      </c>
      <c r="AH183">
        <f t="shared" si="77"/>
        <v>0.41821181006980762</v>
      </c>
      <c r="AI183">
        <f t="shared" si="78"/>
        <v>-0.563208044888449</v>
      </c>
    </row>
    <row r="184" spans="1:35" x14ac:dyDescent="0.25">
      <c r="A184" t="s">
        <v>542</v>
      </c>
      <c r="B184">
        <f>10^(-(AWGSec+10)/20)*25.4</f>
        <v>0.1602631654979689</v>
      </c>
      <c r="C184" t="s">
        <v>326</v>
      </c>
      <c r="F184">
        <v>0.49</v>
      </c>
      <c r="G184">
        <f t="shared" si="54"/>
        <v>12.35</v>
      </c>
      <c r="H184">
        <f t="shared" si="55"/>
        <v>0.26086419753086421</v>
      </c>
      <c r="I184">
        <f t="shared" si="79"/>
        <v>1.52</v>
      </c>
      <c r="J184">
        <f t="shared" si="56"/>
        <v>0.56123076923076931</v>
      </c>
      <c r="K184">
        <f t="shared" si="57"/>
        <v>0.16457497656982192</v>
      </c>
      <c r="L184">
        <f t="shared" si="53"/>
        <v>1.2</v>
      </c>
      <c r="M184">
        <f t="shared" si="58"/>
        <v>0.34979757085020252</v>
      </c>
      <c r="O184">
        <f t="shared" si="59"/>
        <v>12.35</v>
      </c>
      <c r="P184">
        <f t="shared" si="60"/>
        <v>9.2624999999999993</v>
      </c>
      <c r="Q184">
        <f t="shared" si="61"/>
        <v>1.3719599999999998E-2</v>
      </c>
      <c r="R184">
        <f t="shared" si="62"/>
        <v>3.1023599999999995E-2</v>
      </c>
      <c r="S184">
        <f t="shared" si="63"/>
        <v>-6.028945802320098E-2</v>
      </c>
      <c r="T184">
        <f t="shared" si="64"/>
        <v>-0.13438290006419876</v>
      </c>
      <c r="U184">
        <f t="shared" si="65"/>
        <v>0.36822649615291164</v>
      </c>
      <c r="V184">
        <f t="shared" si="66"/>
        <v>0.1651721180792462</v>
      </c>
      <c r="W184">
        <f t="shared" si="67"/>
        <v>137.12141570529474</v>
      </c>
      <c r="X184">
        <f t="shared" si="68"/>
        <v>403.87173057706815</v>
      </c>
      <c r="Y184">
        <f t="shared" si="69"/>
        <v>0.84963692307692307</v>
      </c>
      <c r="Z184">
        <f t="shared" si="70"/>
        <v>0.55709520000000001</v>
      </c>
      <c r="AA184">
        <f t="shared" si="51"/>
        <v>4.5108923076923081E-2</v>
      </c>
      <c r="AB184">
        <f t="shared" si="71"/>
        <v>785.90148289683498</v>
      </c>
      <c r="AC184">
        <f t="shared" si="72"/>
        <v>644.15376950719735</v>
      </c>
      <c r="AD184">
        <f t="shared" si="73"/>
        <v>420.00000000000006</v>
      </c>
      <c r="AE184">
        <f t="shared" si="74"/>
        <v>420.00000000000006</v>
      </c>
      <c r="AF184">
        <f t="shared" si="75"/>
        <v>0.60846774193548392</v>
      </c>
      <c r="AG184">
        <f t="shared" si="76"/>
        <v>0.60846774193548392</v>
      </c>
      <c r="AH184">
        <f t="shared" si="77"/>
        <v>0.41651836947129939</v>
      </c>
      <c r="AI184">
        <f t="shared" si="78"/>
        <v>-0.57514089930995049</v>
      </c>
    </row>
    <row r="185" spans="1:35" x14ac:dyDescent="0.25">
      <c r="A185" t="s">
        <v>327</v>
      </c>
      <c r="F185">
        <v>0.5</v>
      </c>
      <c r="G185">
        <f t="shared" si="54"/>
        <v>12.5</v>
      </c>
      <c r="H185">
        <f t="shared" si="55"/>
        <v>0.26641975308641974</v>
      </c>
      <c r="I185">
        <f t="shared" si="79"/>
        <v>1.52</v>
      </c>
      <c r="J185">
        <f t="shared" si="56"/>
        <v>0.55449599999999999</v>
      </c>
      <c r="K185">
        <f t="shared" si="57"/>
        <v>0.16636738519212746</v>
      </c>
      <c r="L185">
        <f t="shared" si="53"/>
        <v>1.2</v>
      </c>
      <c r="M185">
        <f t="shared" si="58"/>
        <v>0.34560000000000007</v>
      </c>
      <c r="O185">
        <f t="shared" si="59"/>
        <v>12.5</v>
      </c>
      <c r="P185">
        <f t="shared" si="60"/>
        <v>9.375</v>
      </c>
      <c r="Q185">
        <f t="shared" si="61"/>
        <v>1.3719599999999998E-2</v>
      </c>
      <c r="R185">
        <f t="shared" si="62"/>
        <v>3.1023599999999995E-2</v>
      </c>
      <c r="S185">
        <f t="shared" si="63"/>
        <v>-6.0558902467645427E-2</v>
      </c>
      <c r="T185">
        <f t="shared" si="64"/>
        <v>-0.13465234450864322</v>
      </c>
      <c r="U185">
        <f t="shared" si="65"/>
        <v>0.37103861770856134</v>
      </c>
      <c r="V185">
        <f t="shared" si="66"/>
        <v>0.16684281972559353</v>
      </c>
      <c r="W185">
        <f t="shared" si="67"/>
        <v>137.12115962196967</v>
      </c>
      <c r="X185">
        <f t="shared" si="68"/>
        <v>403.87164360537298</v>
      </c>
      <c r="Y185">
        <f t="shared" si="69"/>
        <v>0.84969230769230764</v>
      </c>
      <c r="Z185">
        <f t="shared" si="70"/>
        <v>0.56365384615384639</v>
      </c>
      <c r="AA185">
        <f t="shared" si="51"/>
        <v>4.5092307692307709E-2</v>
      </c>
      <c r="AB185">
        <f t="shared" si="71"/>
        <v>787.42642439073029</v>
      </c>
      <c r="AC185">
        <f t="shared" si="72"/>
        <v>646.79863642360613</v>
      </c>
      <c r="AD185">
        <f t="shared" si="73"/>
        <v>420.00000000000006</v>
      </c>
      <c r="AE185">
        <f t="shared" si="74"/>
        <v>420.00000000000006</v>
      </c>
      <c r="AF185">
        <f t="shared" si="75"/>
        <v>0.61209677419354835</v>
      </c>
      <c r="AG185">
        <f t="shared" si="76"/>
        <v>0.61209677419354835</v>
      </c>
      <c r="AH185">
        <f t="shared" si="77"/>
        <v>0.41496036074361964</v>
      </c>
      <c r="AI185">
        <f t="shared" si="78"/>
        <v>-0.58690121580189558</v>
      </c>
    </row>
    <row r="186" spans="1:35" x14ac:dyDescent="0.25">
      <c r="A186" t="s">
        <v>328</v>
      </c>
      <c r="B186">
        <f>ROUND(Bwindow/(DiameterAWG),0)</f>
        <v>24</v>
      </c>
      <c r="F186">
        <v>0.51</v>
      </c>
      <c r="G186">
        <f t="shared" si="54"/>
        <v>12.65</v>
      </c>
      <c r="H186">
        <f t="shared" si="55"/>
        <v>0.27197530864197539</v>
      </c>
      <c r="I186">
        <f t="shared" si="79"/>
        <v>1.68</v>
      </c>
      <c r="J186">
        <f t="shared" si="56"/>
        <v>0.66934387351778657</v>
      </c>
      <c r="K186">
        <f t="shared" si="57"/>
        <v>0.168159793814433</v>
      </c>
      <c r="L186">
        <f t="shared" si="53"/>
        <v>1.2</v>
      </c>
      <c r="M186">
        <f t="shared" si="58"/>
        <v>0.34150197628458506</v>
      </c>
      <c r="O186">
        <f t="shared" si="59"/>
        <v>12.65</v>
      </c>
      <c r="P186">
        <f t="shared" si="60"/>
        <v>9.4875000000000007</v>
      </c>
      <c r="Q186">
        <f t="shared" si="61"/>
        <v>1.3719599999999998E-2</v>
      </c>
      <c r="R186">
        <f t="shared" si="62"/>
        <v>3.1023599999999995E-2</v>
      </c>
      <c r="S186">
        <f t="shared" si="63"/>
        <v>-6.0828346912089874E-2</v>
      </c>
      <c r="T186">
        <f t="shared" si="64"/>
        <v>-0.13492178895308768</v>
      </c>
      <c r="U186">
        <f t="shared" si="65"/>
        <v>0.37382582619098981</v>
      </c>
      <c r="V186">
        <f t="shared" si="66"/>
        <v>0.16850684845008848</v>
      </c>
      <c r="W186">
        <f t="shared" si="67"/>
        <v>137.12090353864468</v>
      </c>
      <c r="X186">
        <f t="shared" si="68"/>
        <v>403.87155663367781</v>
      </c>
      <c r="Y186">
        <f t="shared" si="69"/>
        <v>0.84974769230769231</v>
      </c>
      <c r="Z186">
        <f t="shared" si="70"/>
        <v>0.57020750769230766</v>
      </c>
      <c r="AA186">
        <f t="shared" si="51"/>
        <v>4.5075692307692303E-2</v>
      </c>
      <c r="AB186">
        <f t="shared" si="71"/>
        <v>788.90235173181554</v>
      </c>
      <c r="AC186">
        <f t="shared" si="72"/>
        <v>649.39924949608462</v>
      </c>
      <c r="AD186">
        <f t="shared" si="73"/>
        <v>420.00000000000006</v>
      </c>
      <c r="AE186">
        <f t="shared" si="74"/>
        <v>420.00000000000006</v>
      </c>
      <c r="AF186">
        <f t="shared" si="75"/>
        <v>0.6157258064516129</v>
      </c>
      <c r="AG186">
        <f t="shared" si="76"/>
        <v>0.6157258064516129</v>
      </c>
      <c r="AH186">
        <f t="shared" si="77"/>
        <v>0.41353439177982437</v>
      </c>
      <c r="AI186">
        <f t="shared" si="78"/>
        <v>-0.59849077415071006</v>
      </c>
    </row>
    <row r="187" spans="1:35" x14ac:dyDescent="0.25">
      <c r="A187" t="s">
        <v>329</v>
      </c>
      <c r="B187">
        <f>ROUND(Bdepth*10^-3*palocation/(DiameterAWG*10^-3),0)*Number123</f>
        <v>696</v>
      </c>
      <c r="F187">
        <v>0.52</v>
      </c>
      <c r="G187">
        <f t="shared" si="54"/>
        <v>12.8</v>
      </c>
      <c r="H187">
        <f t="shared" si="55"/>
        <v>0.27753086419753092</v>
      </c>
      <c r="I187">
        <f t="shared" si="79"/>
        <v>1.68</v>
      </c>
      <c r="J187">
        <f t="shared" si="56"/>
        <v>0.66149999999999998</v>
      </c>
      <c r="K187">
        <f t="shared" si="57"/>
        <v>0.16995220243673853</v>
      </c>
      <c r="L187">
        <f t="shared" si="53"/>
        <v>1.2</v>
      </c>
      <c r="M187">
        <f t="shared" si="58"/>
        <v>0.33750000000000008</v>
      </c>
      <c r="O187">
        <f t="shared" si="59"/>
        <v>12.8</v>
      </c>
      <c r="P187">
        <f t="shared" si="60"/>
        <v>9.6000000000000014</v>
      </c>
      <c r="Q187">
        <f t="shared" si="61"/>
        <v>1.3719599999999998E-2</v>
      </c>
      <c r="R187">
        <f t="shared" si="62"/>
        <v>3.1023599999999995E-2</v>
      </c>
      <c r="S187">
        <f t="shared" si="63"/>
        <v>-6.1097791356534308E-2</v>
      </c>
      <c r="T187">
        <f t="shared" si="64"/>
        <v>-0.13519123339753211</v>
      </c>
      <c r="U187">
        <f t="shared" si="65"/>
        <v>0.37658845120405143</v>
      </c>
      <c r="V187">
        <f t="shared" si="66"/>
        <v>0.1701642441513623</v>
      </c>
      <c r="W187">
        <f t="shared" si="67"/>
        <v>137.12064745531961</v>
      </c>
      <c r="X187">
        <f t="shared" si="68"/>
        <v>403.87146966198242</v>
      </c>
      <c r="Y187">
        <f t="shared" si="69"/>
        <v>0.84980307692307688</v>
      </c>
      <c r="Z187">
        <f t="shared" si="70"/>
        <v>0.57675618461538469</v>
      </c>
      <c r="AA187">
        <f t="shared" si="51"/>
        <v>4.5059076923076924E-2</v>
      </c>
      <c r="AB187">
        <f t="shared" si="71"/>
        <v>790.33061999063375</v>
      </c>
      <c r="AC187">
        <f t="shared" si="72"/>
        <v>651.95661683792878</v>
      </c>
      <c r="AD187">
        <f t="shared" si="73"/>
        <v>420.00000000000006</v>
      </c>
      <c r="AE187">
        <f t="shared" si="74"/>
        <v>420.00000000000006</v>
      </c>
      <c r="AF187">
        <f t="shared" si="75"/>
        <v>0.61935483870967745</v>
      </c>
      <c r="AG187">
        <f t="shared" si="76"/>
        <v>0.61935483870967745</v>
      </c>
      <c r="AH187">
        <f t="shared" si="77"/>
        <v>0.41223715827657215</v>
      </c>
      <c r="AI187">
        <f t="shared" si="78"/>
        <v>-0.60991133401776987</v>
      </c>
    </row>
    <row r="188" spans="1:35" x14ac:dyDescent="0.25">
      <c r="A188" t="s">
        <v>330</v>
      </c>
      <c r="B188">
        <f>ROUND(TotalNumberofWiresAWG/NpTurns,0)</f>
        <v>29</v>
      </c>
      <c r="F188">
        <v>0.53</v>
      </c>
      <c r="G188">
        <f t="shared" si="54"/>
        <v>12.95</v>
      </c>
      <c r="H188">
        <f t="shared" si="55"/>
        <v>0.28308641975308635</v>
      </c>
      <c r="I188">
        <f t="shared" si="79"/>
        <v>1.68</v>
      </c>
      <c r="J188">
        <f t="shared" si="56"/>
        <v>0.65383783783783789</v>
      </c>
      <c r="K188">
        <f t="shared" si="57"/>
        <v>0.17174461105904404</v>
      </c>
      <c r="L188">
        <f t="shared" si="53"/>
        <v>1.2</v>
      </c>
      <c r="M188">
        <f t="shared" si="58"/>
        <v>0.33359073359073371</v>
      </c>
      <c r="O188">
        <f t="shared" si="59"/>
        <v>12.95</v>
      </c>
      <c r="P188">
        <f t="shared" si="60"/>
        <v>9.7124999999999986</v>
      </c>
      <c r="Q188">
        <f t="shared" si="61"/>
        <v>1.3719599999999998E-2</v>
      </c>
      <c r="R188">
        <f t="shared" si="62"/>
        <v>3.1023599999999995E-2</v>
      </c>
      <c r="S188">
        <f t="shared" si="63"/>
        <v>-6.1367235800978755E-2</v>
      </c>
      <c r="T188">
        <f t="shared" si="64"/>
        <v>-0.13546067784197655</v>
      </c>
      <c r="U188">
        <f t="shared" si="65"/>
        <v>0.37932681656284833</v>
      </c>
      <c r="V188">
        <f t="shared" si="66"/>
        <v>0.17181504641059714</v>
      </c>
      <c r="W188">
        <f t="shared" si="67"/>
        <v>137.12039137199463</v>
      </c>
      <c r="X188">
        <f t="shared" si="68"/>
        <v>403.87138269028702</v>
      </c>
      <c r="Y188">
        <f t="shared" si="69"/>
        <v>0.84985846153846156</v>
      </c>
      <c r="Z188">
        <f t="shared" si="70"/>
        <v>0.58329987692307683</v>
      </c>
      <c r="AA188">
        <f t="shared" si="51"/>
        <v>4.5042461538461531E-2</v>
      </c>
      <c r="AB188">
        <f t="shared" si="71"/>
        <v>791.71253761931393</v>
      </c>
      <c r="AC188">
        <f t="shared" si="72"/>
        <v>654.47171626577313</v>
      </c>
      <c r="AD188">
        <f t="shared" si="73"/>
        <v>420.00000000000006</v>
      </c>
      <c r="AE188">
        <f t="shared" si="74"/>
        <v>420.00000000000006</v>
      </c>
      <c r="AF188">
        <f t="shared" si="75"/>
        <v>0.62298387096774188</v>
      </c>
      <c r="AG188">
        <f t="shared" si="76"/>
        <v>0.62298387096774188</v>
      </c>
      <c r="AH188">
        <f t="shared" si="77"/>
        <v>0.41106544119527555</v>
      </c>
      <c r="AI188">
        <f t="shared" si="78"/>
        <v>-0.62116463519846798</v>
      </c>
    </row>
    <row r="189" spans="1:35" x14ac:dyDescent="0.25">
      <c r="A189" t="s">
        <v>331</v>
      </c>
      <c r="B189">
        <f>ROUND(Number123/Para2,0)</f>
        <v>1</v>
      </c>
      <c r="F189">
        <v>0.54</v>
      </c>
      <c r="G189">
        <f t="shared" si="54"/>
        <v>13.100000000000001</v>
      </c>
      <c r="H189">
        <f t="shared" si="55"/>
        <v>0.288641975308642</v>
      </c>
      <c r="I189">
        <f t="shared" si="79"/>
        <v>1.68</v>
      </c>
      <c r="J189">
        <f t="shared" si="56"/>
        <v>0.64635114503816782</v>
      </c>
      <c r="K189">
        <f t="shared" si="57"/>
        <v>0.1735370196813496</v>
      </c>
      <c r="L189">
        <f t="shared" si="53"/>
        <v>1.2</v>
      </c>
      <c r="M189">
        <f t="shared" si="58"/>
        <v>0.32977099236641227</v>
      </c>
      <c r="O189">
        <f t="shared" si="59"/>
        <v>13.100000000000001</v>
      </c>
      <c r="P189">
        <f t="shared" si="60"/>
        <v>9.8250000000000011</v>
      </c>
      <c r="Q189">
        <f t="shared" si="61"/>
        <v>1.3719599999999998E-2</v>
      </c>
      <c r="R189">
        <f t="shared" si="62"/>
        <v>3.1023599999999995E-2</v>
      </c>
      <c r="S189">
        <f t="shared" si="63"/>
        <v>-6.1636680245423202E-2</v>
      </c>
      <c r="T189">
        <f t="shared" si="64"/>
        <v>-0.13573012228642101</v>
      </c>
      <c r="U189">
        <f t="shared" si="65"/>
        <v>0.38204124042025855</v>
      </c>
      <c r="V189">
        <f t="shared" si="66"/>
        <v>0.17345929449467717</v>
      </c>
      <c r="W189">
        <f t="shared" si="67"/>
        <v>137.12013528866956</v>
      </c>
      <c r="X189">
        <f t="shared" si="68"/>
        <v>403.87129571859185</v>
      </c>
      <c r="Y189">
        <f t="shared" si="69"/>
        <v>0.84991384615384613</v>
      </c>
      <c r="Z189">
        <f t="shared" si="70"/>
        <v>0.58983858461538474</v>
      </c>
      <c r="AA189">
        <f t="shared" si="51"/>
        <v>4.5025846153846159E-2</v>
      </c>
      <c r="AB189">
        <f t="shared" si="71"/>
        <v>793.04936842096674</v>
      </c>
      <c r="AC189">
        <f t="shared" si="72"/>
        <v>656.94549642910488</v>
      </c>
      <c r="AD189">
        <f t="shared" si="73"/>
        <v>420.00000000000006</v>
      </c>
      <c r="AE189">
        <f t="shared" si="74"/>
        <v>420.00000000000006</v>
      </c>
      <c r="AF189">
        <f t="shared" si="75"/>
        <v>0.62661290322580643</v>
      </c>
      <c r="AG189">
        <f t="shared" si="76"/>
        <v>0.62661290322580643</v>
      </c>
      <c r="AH189">
        <f t="shared" si="77"/>
        <v>0.41001610430580748</v>
      </c>
      <c r="AI189">
        <f t="shared" si="78"/>
        <v>-0.63225239787750542</v>
      </c>
    </row>
    <row r="190" spans="1:35" x14ac:dyDescent="0.25">
      <c r="A190" t="s">
        <v>332</v>
      </c>
      <c r="B190">
        <f>NpTurns/TurnsperLayer2</f>
        <v>24</v>
      </c>
      <c r="F190">
        <v>0.55000000000000004</v>
      </c>
      <c r="G190">
        <f t="shared" si="54"/>
        <v>13.25</v>
      </c>
      <c r="H190">
        <f t="shared" si="55"/>
        <v>0.29419753086419753</v>
      </c>
      <c r="I190">
        <f t="shared" si="79"/>
        <v>1.68</v>
      </c>
      <c r="J190">
        <f t="shared" si="56"/>
        <v>0.63903396226415099</v>
      </c>
      <c r="K190">
        <f t="shared" si="57"/>
        <v>0.17532942830365511</v>
      </c>
      <c r="L190">
        <f t="shared" si="53"/>
        <v>1.2</v>
      </c>
      <c r="M190">
        <f t="shared" si="58"/>
        <v>0.32603773584905671</v>
      </c>
      <c r="O190">
        <f t="shared" si="59"/>
        <v>13.25</v>
      </c>
      <c r="P190">
        <f t="shared" si="60"/>
        <v>9.9375</v>
      </c>
      <c r="Q190">
        <f t="shared" si="61"/>
        <v>1.3719599999999998E-2</v>
      </c>
      <c r="R190">
        <f t="shared" si="62"/>
        <v>3.1023599999999995E-2</v>
      </c>
      <c r="S190">
        <f t="shared" si="63"/>
        <v>-6.1906124689867642E-2</v>
      </c>
      <c r="T190">
        <f t="shared" si="64"/>
        <v>-0.13599956673086544</v>
      </c>
      <c r="U190">
        <f t="shared" si="65"/>
        <v>0.38473203539015849</v>
      </c>
      <c r="V190">
        <f t="shared" si="66"/>
        <v>0.17509702735930177</v>
      </c>
      <c r="W190">
        <f t="shared" si="67"/>
        <v>137.11987920534457</v>
      </c>
      <c r="X190">
        <f t="shared" si="68"/>
        <v>403.87120874689646</v>
      </c>
      <c r="Y190">
        <f t="shared" si="69"/>
        <v>0.84996923076923081</v>
      </c>
      <c r="Z190">
        <f t="shared" si="70"/>
        <v>0.59637230769230742</v>
      </c>
      <c r="AA190">
        <f t="shared" si="51"/>
        <v>4.5009230769230746E-2</v>
      </c>
      <c r="AB190">
        <f t="shared" si="71"/>
        <v>794.34233342022878</v>
      </c>
      <c r="AC190">
        <f t="shared" si="72"/>
        <v>659.37887788961871</v>
      </c>
      <c r="AD190">
        <f t="shared" si="73"/>
        <v>420.00000000000006</v>
      </c>
      <c r="AE190">
        <f t="shared" si="74"/>
        <v>420.00000000000006</v>
      </c>
      <c r="AF190">
        <f t="shared" si="75"/>
        <v>0.63024193548387097</v>
      </c>
      <c r="AG190">
        <f t="shared" si="76"/>
        <v>0.63024193548387097</v>
      </c>
      <c r="AH190">
        <f t="shared" si="77"/>
        <v>0.40908609180975986</v>
      </c>
      <c r="AI190">
        <f t="shared" si="78"/>
        <v>-0.64317632288045323</v>
      </c>
    </row>
    <row r="191" spans="1:35" x14ac:dyDescent="0.25">
      <c r="A191" t="s">
        <v>333</v>
      </c>
      <c r="B191">
        <f>0.9904*LN(Layers2)-0.874</f>
        <v>2.273544513576605</v>
      </c>
      <c r="F191">
        <v>0.56000000000000005</v>
      </c>
      <c r="G191">
        <f t="shared" si="54"/>
        <v>13.4</v>
      </c>
      <c r="H191">
        <f t="shared" si="55"/>
        <v>0.29975308641975312</v>
      </c>
      <c r="I191">
        <f t="shared" si="79"/>
        <v>1.68</v>
      </c>
      <c r="J191">
        <f t="shared" si="56"/>
        <v>0.63188059701492538</v>
      </c>
      <c r="K191">
        <f t="shared" si="57"/>
        <v>0.17712183692596065</v>
      </c>
      <c r="L191">
        <f t="shared" si="53"/>
        <v>1.2</v>
      </c>
      <c r="M191">
        <f t="shared" si="58"/>
        <v>0.32238805970149259</v>
      </c>
      <c r="O191">
        <f t="shared" si="59"/>
        <v>13.4</v>
      </c>
      <c r="P191">
        <f t="shared" si="60"/>
        <v>10.050000000000001</v>
      </c>
      <c r="Q191">
        <f t="shared" si="61"/>
        <v>1.3719599999999998E-2</v>
      </c>
      <c r="R191">
        <f t="shared" si="62"/>
        <v>3.1023599999999995E-2</v>
      </c>
      <c r="S191">
        <f t="shared" si="63"/>
        <v>-6.2175569134312089E-2</v>
      </c>
      <c r="T191">
        <f t="shared" si="64"/>
        <v>-0.1362690111753099</v>
      </c>
      <c r="U191">
        <f t="shared" si="65"/>
        <v>0.38739950866744272</v>
      </c>
      <c r="V191">
        <f t="shared" si="66"/>
        <v>0.17672828365206239</v>
      </c>
      <c r="W191">
        <f t="shared" si="67"/>
        <v>137.11962312201953</v>
      </c>
      <c r="X191">
        <f t="shared" si="68"/>
        <v>403.87112177520129</v>
      </c>
      <c r="Y191">
        <f t="shared" si="69"/>
        <v>0.85002461538461538</v>
      </c>
      <c r="Z191">
        <f t="shared" si="70"/>
        <v>0.6029010461538461</v>
      </c>
      <c r="AA191">
        <f t="shared" si="51"/>
        <v>4.4992615384615381E-2</v>
      </c>
      <c r="AB191">
        <f t="shared" si="71"/>
        <v>795.59261264069471</v>
      </c>
      <c r="AC191">
        <f t="shared" si="72"/>
        <v>661.7727541529938</v>
      </c>
      <c r="AD191">
        <f t="shared" si="73"/>
        <v>420.00000000000006</v>
      </c>
      <c r="AE191">
        <f t="shared" si="74"/>
        <v>420.00000000000006</v>
      </c>
      <c r="AF191">
        <f t="shared" si="75"/>
        <v>0.63387096774193552</v>
      </c>
      <c r="AG191">
        <f t="shared" si="76"/>
        <v>0.63387096774193552</v>
      </c>
      <c r="AH191">
        <f t="shared" si="77"/>
        <v>0.40827242604037939</v>
      </c>
      <c r="AI191">
        <f t="shared" si="78"/>
        <v>-0.6539380919216552</v>
      </c>
    </row>
    <row r="192" spans="1:35" x14ac:dyDescent="0.25">
      <c r="A192" t="s">
        <v>334</v>
      </c>
      <c r="B192">
        <f>pcop*PriLength/(CrossSectionalAreaofWire*10^-3)</f>
        <v>1.3524185319453634</v>
      </c>
      <c r="C192" t="s">
        <v>74</v>
      </c>
      <c r="F192">
        <v>0.56999999999999995</v>
      </c>
      <c r="G192">
        <f t="shared" si="54"/>
        <v>13.549999999999999</v>
      </c>
      <c r="H192">
        <f t="shared" si="55"/>
        <v>0.3053086419753086</v>
      </c>
      <c r="I192">
        <f t="shared" si="79"/>
        <v>1.68</v>
      </c>
      <c r="J192">
        <f t="shared" si="56"/>
        <v>0.62488560885608857</v>
      </c>
      <c r="K192">
        <f t="shared" si="57"/>
        <v>0.17891424554826615</v>
      </c>
      <c r="L192">
        <f t="shared" si="53"/>
        <v>1.2</v>
      </c>
      <c r="M192">
        <f t="shared" si="58"/>
        <v>0.31881918819188204</v>
      </c>
      <c r="O192">
        <f t="shared" si="59"/>
        <v>13.549999999999999</v>
      </c>
      <c r="P192">
        <f t="shared" si="60"/>
        <v>10.1625</v>
      </c>
      <c r="Q192">
        <f t="shared" si="61"/>
        <v>1.3719599999999998E-2</v>
      </c>
      <c r="R192">
        <f t="shared" si="62"/>
        <v>3.1023599999999995E-2</v>
      </c>
      <c r="S192">
        <f t="shared" si="63"/>
        <v>-6.2445013578756536E-2</v>
      </c>
      <c r="T192">
        <f t="shared" si="64"/>
        <v>-0.13653845561975433</v>
      </c>
      <c r="U192">
        <f t="shared" si="65"/>
        <v>0.39004396214493575</v>
      </c>
      <c r="V192">
        <f t="shared" si="66"/>
        <v>0.17835310171548235</v>
      </c>
      <c r="W192">
        <f t="shared" si="67"/>
        <v>137.11936703869452</v>
      </c>
      <c r="X192">
        <f t="shared" si="68"/>
        <v>403.87103480350589</v>
      </c>
      <c r="Y192">
        <f t="shared" si="69"/>
        <v>0.85007999999999995</v>
      </c>
      <c r="Z192">
        <f t="shared" si="70"/>
        <v>0.6094248000000001</v>
      </c>
      <c r="AA192">
        <f t="shared" si="51"/>
        <v>4.4976000000000009E-2</v>
      </c>
      <c r="AB192">
        <f t="shared" si="71"/>
        <v>796.80134679459547</v>
      </c>
      <c r="AC192">
        <f t="shared" si="72"/>
        <v>664.1279926555203</v>
      </c>
      <c r="AD192">
        <f t="shared" si="73"/>
        <v>420.00000000000006</v>
      </c>
      <c r="AE192">
        <f t="shared" si="74"/>
        <v>420.00000000000006</v>
      </c>
      <c r="AF192">
        <f t="shared" si="75"/>
        <v>0.63749999999999996</v>
      </c>
      <c r="AG192">
        <f t="shared" si="76"/>
        <v>0.63749999999999996</v>
      </c>
      <c r="AH192">
        <f t="shared" si="77"/>
        <v>0.40757220523641474</v>
      </c>
      <c r="AI192">
        <f t="shared" si="78"/>
        <v>-0.66453936784852774</v>
      </c>
    </row>
    <row r="193" spans="1:35" x14ac:dyDescent="0.25">
      <c r="A193" t="s">
        <v>335</v>
      </c>
      <c r="B193">
        <f>DiameterAWG*10^-3/SkinDepthVinminVoutmaxIoutMVout*wireR2*Layers2/3*(2*Layers2^2+1)</f>
        <v>10767.751016443191</v>
      </c>
      <c r="C193" t="s">
        <v>74</v>
      </c>
      <c r="F193">
        <v>0.57999999999999996</v>
      </c>
      <c r="G193">
        <f t="shared" si="54"/>
        <v>13.7</v>
      </c>
      <c r="H193">
        <f t="shared" si="55"/>
        <v>0.31086419753086414</v>
      </c>
      <c r="I193">
        <f t="shared" si="79"/>
        <v>1.68</v>
      </c>
      <c r="J193">
        <f t="shared" si="56"/>
        <v>0.61804379562043799</v>
      </c>
      <c r="K193">
        <f t="shared" si="57"/>
        <v>0.18070665417057169</v>
      </c>
      <c r="L193">
        <f t="shared" si="53"/>
        <v>1.36</v>
      </c>
      <c r="M193">
        <f t="shared" si="58"/>
        <v>0.40502189781021913</v>
      </c>
      <c r="O193">
        <f t="shared" si="59"/>
        <v>13.7</v>
      </c>
      <c r="P193">
        <f t="shared" si="60"/>
        <v>10.274999999999999</v>
      </c>
      <c r="Q193">
        <f t="shared" si="61"/>
        <v>1.3719599999999998E-2</v>
      </c>
      <c r="R193">
        <f t="shared" si="62"/>
        <v>3.1023599999999995E-2</v>
      </c>
      <c r="S193">
        <f t="shared" si="63"/>
        <v>-6.271445802320097E-2</v>
      </c>
      <c r="T193">
        <f t="shared" si="64"/>
        <v>-0.13680790006419877</v>
      </c>
      <c r="U193">
        <f t="shared" si="65"/>
        <v>0.39266569252729061</v>
      </c>
      <c r="V193">
        <f t="shared" si="66"/>
        <v>0.17997151959002117</v>
      </c>
      <c r="W193">
        <f t="shared" si="67"/>
        <v>137.11911095536945</v>
      </c>
      <c r="X193">
        <f t="shared" si="68"/>
        <v>403.87094783181061</v>
      </c>
      <c r="Y193">
        <f t="shared" si="69"/>
        <v>0.85013538461538463</v>
      </c>
      <c r="Z193">
        <f t="shared" si="70"/>
        <v>0.61594356923076909</v>
      </c>
      <c r="AA193">
        <f t="shared" si="51"/>
        <v>4.4959384615384609E-2</v>
      </c>
      <c r="AB193">
        <f t="shared" si="71"/>
        <v>797.96963888974017</v>
      </c>
      <c r="AC193">
        <f t="shared" si="72"/>
        <v>666.44543570786482</v>
      </c>
      <c r="AD193">
        <f t="shared" si="73"/>
        <v>420.00000000000006</v>
      </c>
      <c r="AE193">
        <f t="shared" si="74"/>
        <v>420.00000000000006</v>
      </c>
      <c r="AF193">
        <f t="shared" si="75"/>
        <v>0.6411290322580645</v>
      </c>
      <c r="AG193">
        <f t="shared" si="76"/>
        <v>0.6411290322580645</v>
      </c>
      <c r="AH193">
        <f t="shared" si="77"/>
        <v>0.40698260138722753</v>
      </c>
      <c r="AI193">
        <f t="shared" si="78"/>
        <v>-0.6749817948823067</v>
      </c>
    </row>
    <row r="194" spans="1:35" x14ac:dyDescent="0.25">
      <c r="A194" t="s">
        <v>336</v>
      </c>
      <c r="B194">
        <f>DiameterAWG*10^-3/SkinDepthVinminVoutmaxIoutMVout*B179/PriNumWireCh+B179/PriNumWireCh</f>
        <v>0.50395619156780624</v>
      </c>
      <c r="C194" t="s">
        <v>74</v>
      </c>
      <c r="F194">
        <v>0.59</v>
      </c>
      <c r="G194">
        <f t="shared" si="54"/>
        <v>13.85</v>
      </c>
      <c r="H194">
        <f t="shared" si="55"/>
        <v>0.31641975308641973</v>
      </c>
      <c r="I194">
        <f t="shared" si="79"/>
        <v>1.68</v>
      </c>
      <c r="J194">
        <f t="shared" si="56"/>
        <v>0.61135018050541523</v>
      </c>
      <c r="K194">
        <f t="shared" si="57"/>
        <v>0.18249906279287723</v>
      </c>
      <c r="L194">
        <f t="shared" si="53"/>
        <v>1.36</v>
      </c>
      <c r="M194">
        <f t="shared" si="58"/>
        <v>0.40063537906137198</v>
      </c>
      <c r="O194">
        <f t="shared" si="59"/>
        <v>13.85</v>
      </c>
      <c r="P194">
        <f t="shared" si="60"/>
        <v>10.387499999999999</v>
      </c>
      <c r="Q194">
        <f t="shared" si="61"/>
        <v>1.3719599999999998E-2</v>
      </c>
      <c r="R194">
        <f t="shared" si="62"/>
        <v>3.1023599999999995E-2</v>
      </c>
      <c r="S194">
        <f t="shared" si="63"/>
        <v>-6.2983902467645417E-2</v>
      </c>
      <c r="T194">
        <f t="shared" si="64"/>
        <v>-0.1370773445086432</v>
      </c>
      <c r="U194">
        <f t="shared" si="65"/>
        <v>0.39526499144196309</v>
      </c>
      <c r="V194">
        <f t="shared" si="66"/>
        <v>0.18158357501704328</v>
      </c>
      <c r="W194">
        <f t="shared" si="67"/>
        <v>137.11885487204447</v>
      </c>
      <c r="X194">
        <f t="shared" si="68"/>
        <v>403.87086086011533</v>
      </c>
      <c r="Y194">
        <f t="shared" si="69"/>
        <v>0.85019076923076919</v>
      </c>
      <c r="Z194">
        <f t="shared" si="70"/>
        <v>0.62245735384615386</v>
      </c>
      <c r="AA194">
        <f t="shared" si="51"/>
        <v>4.4942769230769231E-2</v>
      </c>
      <c r="AB194">
        <f t="shared" si="71"/>
        <v>799.09855575840106</v>
      </c>
      <c r="AC194">
        <f t="shared" si="72"/>
        <v>668.72590139813258</v>
      </c>
      <c r="AD194">
        <f t="shared" si="73"/>
        <v>420.00000000000006</v>
      </c>
      <c r="AE194">
        <f t="shared" si="74"/>
        <v>420.00000000000006</v>
      </c>
      <c r="AF194">
        <f t="shared" si="75"/>
        <v>0.64475806451612905</v>
      </c>
      <c r="AG194">
        <f t="shared" si="76"/>
        <v>0.64475806451612905</v>
      </c>
      <c r="AH194">
        <f t="shared" si="77"/>
        <v>0.40650085814660736</v>
      </c>
      <c r="AI194">
        <f t="shared" si="78"/>
        <v>-0.68526699885532261</v>
      </c>
    </row>
    <row r="195" spans="1:35" x14ac:dyDescent="0.25">
      <c r="A195" t="s">
        <v>338</v>
      </c>
      <c r="B195" s="6">
        <f>SQRT(ISW2RMS^2+ILSSWRMSVinminVoutmaxIoutVoutMax^2)</f>
        <v>1.5303029528278986</v>
      </c>
      <c r="C195" t="s">
        <v>11</v>
      </c>
      <c r="F195">
        <v>0.6</v>
      </c>
      <c r="G195">
        <f t="shared" si="54"/>
        <v>14</v>
      </c>
      <c r="H195">
        <f t="shared" si="55"/>
        <v>0.32197530864197532</v>
      </c>
      <c r="I195">
        <f t="shared" si="79"/>
        <v>1.68</v>
      </c>
      <c r="J195">
        <f t="shared" si="56"/>
        <v>0.6048</v>
      </c>
      <c r="K195">
        <f t="shared" si="57"/>
        <v>0.18429147141518276</v>
      </c>
      <c r="L195">
        <f t="shared" si="53"/>
        <v>1.36</v>
      </c>
      <c r="M195">
        <f t="shared" si="58"/>
        <v>0.39634285714285727</v>
      </c>
      <c r="O195">
        <f t="shared" si="59"/>
        <v>14</v>
      </c>
      <c r="P195">
        <f t="shared" si="60"/>
        <v>10.5</v>
      </c>
      <c r="Q195">
        <f t="shared" si="61"/>
        <v>1.3719599999999998E-2</v>
      </c>
      <c r="R195">
        <f t="shared" si="62"/>
        <v>3.1023599999999995E-2</v>
      </c>
      <c r="S195">
        <f t="shared" si="63"/>
        <v>-6.3253346912089864E-2</v>
      </c>
      <c r="T195">
        <f t="shared" si="64"/>
        <v>-0.13734678895308766</v>
      </c>
      <c r="U195">
        <f t="shared" si="65"/>
        <v>0.39784214554735037</v>
      </c>
      <c r="V195">
        <f t="shared" si="66"/>
        <v>0.18318930544175177</v>
      </c>
      <c r="W195">
        <f t="shared" si="67"/>
        <v>137.1185987887194</v>
      </c>
      <c r="X195">
        <f t="shared" si="68"/>
        <v>403.87077388842005</v>
      </c>
      <c r="Y195">
        <f t="shared" si="69"/>
        <v>0.85024615384615387</v>
      </c>
      <c r="Z195">
        <f t="shared" si="70"/>
        <v>0.62896615384615373</v>
      </c>
      <c r="AA195">
        <f t="shared" si="51"/>
        <v>4.4926153846153838E-2</v>
      </c>
      <c r="AB195">
        <f t="shared" si="71"/>
        <v>800.18912951253753</v>
      </c>
      <c r="AC195">
        <f t="shared" si="72"/>
        <v>670.97018445625577</v>
      </c>
      <c r="AD195">
        <f t="shared" si="73"/>
        <v>420.00000000000006</v>
      </c>
      <c r="AE195">
        <f t="shared" si="74"/>
        <v>420.00000000000006</v>
      </c>
      <c r="AF195">
        <f t="shared" si="75"/>
        <v>0.64838709677419359</v>
      </c>
      <c r="AG195">
        <f t="shared" si="76"/>
        <v>0.64838709677419359</v>
      </c>
      <c r="AH195">
        <f t="shared" si="77"/>
        <v>0.40612428881285684</v>
      </c>
      <c r="AI195">
        <f t="shared" si="78"/>
        <v>-0.69539658744483057</v>
      </c>
    </row>
    <row r="196" spans="1:35" x14ac:dyDescent="0.25">
      <c r="A196" t="s">
        <v>337</v>
      </c>
      <c r="B196">
        <f>ItransPriRMSVinminVoutmaxIoutMVout^2*Rtot3</f>
        <v>1.1801782804517063</v>
      </c>
      <c r="C196" t="s">
        <v>4</v>
      </c>
      <c r="F196">
        <v>0.61</v>
      </c>
      <c r="G196">
        <f t="shared" si="54"/>
        <v>14.15</v>
      </c>
      <c r="H196">
        <f t="shared" si="55"/>
        <v>0.32753086419753091</v>
      </c>
      <c r="I196">
        <f t="shared" si="79"/>
        <v>1.68</v>
      </c>
      <c r="J196">
        <f t="shared" si="56"/>
        <v>0.59838869257950533</v>
      </c>
      <c r="K196">
        <f t="shared" si="57"/>
        <v>0.1860838800374883</v>
      </c>
      <c r="L196">
        <f t="shared" si="53"/>
        <v>1.36</v>
      </c>
      <c r="M196">
        <f t="shared" si="58"/>
        <v>0.39214134275618384</v>
      </c>
      <c r="O196">
        <f t="shared" si="59"/>
        <v>14.15</v>
      </c>
      <c r="P196">
        <f t="shared" si="60"/>
        <v>10.612500000000001</v>
      </c>
      <c r="Q196">
        <f t="shared" si="61"/>
        <v>1.3719599999999998E-2</v>
      </c>
      <c r="R196">
        <f t="shared" si="62"/>
        <v>3.1023599999999995E-2</v>
      </c>
      <c r="S196">
        <f t="shared" si="63"/>
        <v>-6.3522791356534311E-2</v>
      </c>
      <c r="T196">
        <f t="shared" si="64"/>
        <v>-0.13761623339753212</v>
      </c>
      <c r="U196">
        <f t="shared" si="65"/>
        <v>0.40039743663817723</v>
      </c>
      <c r="V196">
        <f t="shared" si="66"/>
        <v>0.1847887480160878</v>
      </c>
      <c r="W196">
        <f t="shared" si="67"/>
        <v>137.11834270539438</v>
      </c>
      <c r="X196">
        <f t="shared" si="68"/>
        <v>403.87068691672476</v>
      </c>
      <c r="Y196">
        <f t="shared" si="69"/>
        <v>0.85030153846153844</v>
      </c>
      <c r="Z196">
        <f t="shared" si="70"/>
        <v>0.63546996923076937</v>
      </c>
      <c r="AA196">
        <f t="shared" si="51"/>
        <v>4.4909538461538473E-2</v>
      </c>
      <c r="AB196">
        <f t="shared" si="71"/>
        <v>801.24235892945671</v>
      </c>
      <c r="AC196">
        <f t="shared" si="72"/>
        <v>673.17905708163141</v>
      </c>
      <c r="AD196">
        <f t="shared" si="73"/>
        <v>420.00000000000006</v>
      </c>
      <c r="AE196">
        <f t="shared" si="74"/>
        <v>420.00000000000006</v>
      </c>
      <c r="AF196">
        <f t="shared" si="75"/>
        <v>0.65201612903225803</v>
      </c>
      <c r="AG196">
        <f t="shared" si="76"/>
        <v>0.65201612903225803</v>
      </c>
      <c r="AH196">
        <f t="shared" si="77"/>
        <v>0.4058502743727937</v>
      </c>
      <c r="AI196">
        <f t="shared" si="78"/>
        <v>-0.705372150403484</v>
      </c>
    </row>
    <row r="197" spans="1:35" x14ac:dyDescent="0.25">
      <c r="A197" t="s">
        <v>343</v>
      </c>
      <c r="B197">
        <f>(Tape*0.0254*2*PSInt+Tape*0.0254*PPSSInt)/Bwindow</f>
        <v>0.18025806451612902</v>
      </c>
      <c r="F197">
        <v>0.62</v>
      </c>
      <c r="G197">
        <f t="shared" si="54"/>
        <v>14.3</v>
      </c>
      <c r="H197">
        <f t="shared" si="55"/>
        <v>0.3330864197530865</v>
      </c>
      <c r="I197">
        <f t="shared" si="79"/>
        <v>1.84</v>
      </c>
      <c r="J197">
        <f t="shared" si="56"/>
        <v>0.71026573426573436</v>
      </c>
      <c r="K197">
        <f t="shared" si="57"/>
        <v>0.18787628865979381</v>
      </c>
      <c r="L197">
        <f t="shared" si="53"/>
        <v>1.36</v>
      </c>
      <c r="M197">
        <f t="shared" si="58"/>
        <v>0.38802797202797212</v>
      </c>
      <c r="O197">
        <f t="shared" si="59"/>
        <v>14.3</v>
      </c>
      <c r="P197">
        <f t="shared" si="60"/>
        <v>10.725000000000001</v>
      </c>
      <c r="Q197">
        <f t="shared" si="61"/>
        <v>1.3719599999999998E-2</v>
      </c>
      <c r="R197">
        <f t="shared" si="62"/>
        <v>3.1023599999999995E-2</v>
      </c>
      <c r="S197">
        <f t="shared" si="63"/>
        <v>-6.3792235800978758E-2</v>
      </c>
      <c r="T197">
        <f t="shared" si="64"/>
        <v>-0.13788567784197656</v>
      </c>
      <c r="U197">
        <f t="shared" si="65"/>
        <v>0.40293114174821143</v>
      </c>
      <c r="V197">
        <f t="shared" si="66"/>
        <v>0.18638193960159588</v>
      </c>
      <c r="W197">
        <f t="shared" si="67"/>
        <v>137.11808662206934</v>
      </c>
      <c r="X197">
        <f t="shared" si="68"/>
        <v>403.87059994502948</v>
      </c>
      <c r="Y197">
        <f t="shared" si="69"/>
        <v>0.85035692307692301</v>
      </c>
      <c r="Z197">
        <f t="shared" si="70"/>
        <v>0.64196880000000034</v>
      </c>
      <c r="AA197">
        <f t="shared" si="51"/>
        <v>4.4892923076923101E-2</v>
      </c>
      <c r="AB197">
        <f t="shared" si="71"/>
        <v>802.25921077176349</v>
      </c>
      <c r="AC197">
        <f t="shared" si="72"/>
        <v>675.35326973581709</v>
      </c>
      <c r="AD197">
        <f t="shared" si="73"/>
        <v>420.00000000000006</v>
      </c>
      <c r="AE197">
        <f t="shared" si="74"/>
        <v>420.00000000000006</v>
      </c>
      <c r="AF197">
        <f t="shared" si="75"/>
        <v>0.65564516129032258</v>
      </c>
      <c r="AG197">
        <f t="shared" si="76"/>
        <v>0.65564516129032258</v>
      </c>
      <c r="AH197">
        <f t="shared" si="77"/>
        <v>0.40567626160740305</v>
      </c>
      <c r="AI197">
        <f t="shared" si="78"/>
        <v>-0.71519525978647003</v>
      </c>
    </row>
    <row r="198" spans="1:35" x14ac:dyDescent="0.25">
      <c r="A198" t="s">
        <v>344</v>
      </c>
      <c r="B198">
        <f>salocation</f>
        <v>0.33</v>
      </c>
      <c r="F198">
        <v>0.630000000000001</v>
      </c>
      <c r="G198">
        <f t="shared" si="54"/>
        <v>14.450000000000015</v>
      </c>
      <c r="H198">
        <f t="shared" si="55"/>
        <v>0.33864197530864248</v>
      </c>
      <c r="I198">
        <f t="shared" si="79"/>
        <v>1.84</v>
      </c>
      <c r="J198">
        <f t="shared" si="56"/>
        <v>0.70289273356401327</v>
      </c>
      <c r="K198">
        <f t="shared" si="57"/>
        <v>0.18966869728209954</v>
      </c>
      <c r="L198">
        <f t="shared" si="53"/>
        <v>1.36</v>
      </c>
      <c r="M198">
        <f t="shared" si="58"/>
        <v>0.38399999999999973</v>
      </c>
      <c r="O198">
        <f t="shared" si="59"/>
        <v>14.450000000000015</v>
      </c>
      <c r="P198">
        <f t="shared" si="60"/>
        <v>10.837500000000011</v>
      </c>
      <c r="Q198">
        <f t="shared" si="61"/>
        <v>1.3719599999999998E-2</v>
      </c>
      <c r="R198">
        <f t="shared" si="62"/>
        <v>3.1023599999999995E-2</v>
      </c>
      <c r="S198">
        <f t="shared" si="63"/>
        <v>-6.4061680245423233E-2</v>
      </c>
      <c r="T198">
        <f t="shared" si="64"/>
        <v>-0.13815512228642102</v>
      </c>
      <c r="U198">
        <f t="shared" si="65"/>
        <v>0.40544353325038707</v>
      </c>
      <c r="V198">
        <f t="shared" si="66"/>
        <v>0.1879689167722558</v>
      </c>
      <c r="W198">
        <f t="shared" si="67"/>
        <v>137.11783053874433</v>
      </c>
      <c r="X198">
        <f t="shared" si="68"/>
        <v>403.8705129733342</v>
      </c>
      <c r="Y198">
        <f t="shared" si="69"/>
        <v>0.85041230769230769</v>
      </c>
      <c r="Z198">
        <f t="shared" si="70"/>
        <v>0.64846264615384686</v>
      </c>
      <c r="AA198">
        <f t="shared" si="51"/>
        <v>4.4876307692307695E-2</v>
      </c>
      <c r="AB198">
        <f t="shared" si="71"/>
        <v>803.24062104520419</v>
      </c>
      <c r="AC198">
        <f t="shared" si="72"/>
        <v>677.49355190199151</v>
      </c>
      <c r="AD198">
        <f t="shared" si="73"/>
        <v>420.00000000000006</v>
      </c>
      <c r="AE198">
        <f t="shared" si="74"/>
        <v>420.00000000000006</v>
      </c>
      <c r="AF198">
        <f t="shared" si="75"/>
        <v>0.65927419354838745</v>
      </c>
      <c r="AG198">
        <f t="shared" si="76"/>
        <v>0.65927419354838745</v>
      </c>
      <c r="AH198">
        <f t="shared" si="77"/>
        <v>0.40559976125698383</v>
      </c>
      <c r="AI198">
        <f t="shared" si="78"/>
        <v>-0.72486747017539399</v>
      </c>
    </row>
    <row r="199" spans="1:35" x14ac:dyDescent="0.25">
      <c r="A199" t="s">
        <v>345</v>
      </c>
      <c r="B199">
        <f>ROUND(Bdepth*palocationsec/(DiameterAWG),0)</f>
        <v>24</v>
      </c>
      <c r="F199">
        <v>0.64000000000000101</v>
      </c>
      <c r="G199">
        <f t="shared" ref="G199:G230" si="80">IF(VoutMin=VoutMax,VoutMin*(0.8+0.4*F199),VoutMin+(VoutMax-VoutMin)*F199)</f>
        <v>14.600000000000016</v>
      </c>
      <c r="H199">
        <f t="shared" ref="H199:H210" si="81">BinVoltageVathZener+IF(((Naux1/Nsec*G199)-Vz)*RZ1Ch/(RZ1Ch+RZ2Ch)&gt;0,((Naux1/Nsec*G199)-Vz)*RZ1Ch/(RZ1Ch+RZ2Ch),0)</f>
        <v>0.34419753086419813</v>
      </c>
      <c r="I199">
        <f t="shared" si="79"/>
        <v>1.84</v>
      </c>
      <c r="J199">
        <f t="shared" ref="J199:J210" si="82">FswDCMMax*10^3*((I199/(FBGain*RSCh*10^-3))^2)*Lch*10^-6/(2*G199)</f>
        <v>0.69567123287671173</v>
      </c>
      <c r="K199">
        <f t="shared" ref="K199:K235" si="83">IF(OR(RNoZ2Ch=0,RNoZ2Ch="DNI"),RNoZ1Ch*IATH*10^-3,BinVoltageVathNoZener+RNoZ1Ch/(RNoZ1Ch+RNoZ2Ch)*Naux1/Nsec*G199)</f>
        <v>0.19146110590440504</v>
      </c>
      <c r="L199">
        <f t="shared" si="53"/>
        <v>1.36</v>
      </c>
      <c r="M199">
        <f t="shared" ref="M199:M210" si="84">FswDCMMax*10^3*((L199/(FBGain*RSCh*10^-3))^2)*Lch*10^-6/(2*G199)</f>
        <v>0.38005479452054763</v>
      </c>
      <c r="O199">
        <f t="shared" ref="O199:O235" si="85">IF(VoutMin=VoutMax,VoutMin*(0.8+0.4*F199),VoutMin+(VoutMax-VoutMin)*F199)</f>
        <v>14.600000000000016</v>
      </c>
      <c r="P199">
        <f t="shared" ref="P199:P210" si="86">Naux1/Nsec*O199</f>
        <v>10.950000000000012</v>
      </c>
      <c r="Q199">
        <f t="shared" ref="Q199:Q235" si="87">OppCVinmin*10^-6*RoppCh</f>
        <v>1.3719599999999998E-2</v>
      </c>
      <c r="R199">
        <f t="shared" ref="R199:R235" si="88">OppCVinmax*10^-6*RoppCh</f>
        <v>3.1023599999999995E-2</v>
      </c>
      <c r="S199">
        <f t="shared" ref="S199:S210" si="89">-CswTotal*10^-12*(VinMin+Nch*O199)/(Tzvs*10^-9)</f>
        <v>-6.4331124689867666E-2</v>
      </c>
      <c r="T199">
        <f t="shared" ref="T199:T210" si="90">-CswTotal*10^-12*(VinMax+Nch*O199)/(Tzvs*10^-9)</f>
        <v>-0.13842456673086545</v>
      </c>
      <c r="U199">
        <f t="shared" ref="U199:U210" si="91">O199*Nch/(O199*Nch+VinMin)+(2*FminACF*10^3*AtoDTrans*Lleak*10^-6/(Nch*EffFL*VinMin))</f>
        <v>0.40793487895441144</v>
      </c>
      <c r="V199">
        <f t="shared" ref="V199:V210" si="92">O199*Nch/(O199*Nch+VinMax)+(2*FminACF*10^3*AtoDTrans*Lleak*10^-6/(Nch*EffFL*VinMax))</f>
        <v>0.18954971581728094</v>
      </c>
      <c r="W199">
        <f t="shared" ref="W199:W210" si="93">10^9*IF(CswTotal*10^-12*(VinMin+O199*Nch)*((1-U199)*Nch)/(AtoDTrans*2)&lt;RiseMax,CswTotal*10^-12*(VinMin+O199*Nch)*((1-U199)*Nch)/(AtoDTrans*2),RiseMax)</f>
        <v>137.11757445541926</v>
      </c>
      <c r="X199">
        <f t="shared" ref="X199:X210" si="94">10^9*IF(CswTotal*10^-12*(VinMax+O199*Nch)*((1-V199)*Nch)/(AtoDTrans*2)&lt;RiseMax,CswTotal*10^-12*(VinMax+O199*Nch)*((1-V199)*Nch)/(AtoDTrans*2),RiseMax)</f>
        <v>403.87042600163886</v>
      </c>
      <c r="Y199">
        <f t="shared" ref="Y199:Y210" si="95">(EffFL-Eff4W)/(IoutVoutMax*VoutMax)*AtoDTrans*O199+Eff4W-(EffFL-Eff4W)/(IoutVoutMax*VoutMax)*4</f>
        <v>0.85046769230769226</v>
      </c>
      <c r="Z199">
        <f t="shared" ref="Z199:Z210" si="96">O199*AtoDTrans*(1-Y199)</f>
        <v>0.65495150769230859</v>
      </c>
      <c r="AA199">
        <f t="shared" si="51"/>
        <v>4.4859692307692323E-2</v>
      </c>
      <c r="AB199">
        <f t="shared" ref="AB199:AB210" si="97">1/((1/((VinMin*Nch*O199/(Nch*O199+VinMin))/(2*Lch*10^-6*((AtoDTrans+AA199)/((1-Nch*O199/(Nch*O199+VinMin))*Nch)-S199))))+Tzvs*10^-9+W199*10^-9)/1000</f>
        <v>804.18749619778646</v>
      </c>
      <c r="AC199">
        <f t="shared" ref="AC199:AC210" si="98">1/((1/((VinMax*Nch*O199/(Nch*O199+VinMax))/(2*Lch*10^-6*((AtoDTrans+AA199)/((1-Nch*O199/(Nch*O199+VinMax))*Nch)-T199))))+Tzvs*10^-9+X199*10^-9)/1000</f>
        <v>679.60061281279604</v>
      </c>
      <c r="AD199">
        <f t="shared" ref="AD199:AD210" si="99">IF(AB199&lt;FswACFMinChRt,FswACFMinChRt,IF(AB199&lt;FswACFMax,AB199,FswACFMax))</f>
        <v>420.00000000000006</v>
      </c>
      <c r="AE199">
        <f t="shared" ref="AE199:AE210" si="100">IF(AC199&lt;FswACFMinChRt,FswACFMinChRt,IF(AC199&lt;FswACFMax,AC199,FswACFMax))</f>
        <v>420.00000000000006</v>
      </c>
      <c r="AF199">
        <f t="shared" ref="AF199:AF235" si="101">(RDTH2Ch*10^3*P199+IDTH*10^-6*IF(OR(RDTH1Ch="DNI",RDTH1Ch=0),1000000000,RDTH1Ch)*10^3*RDTH2Ch*10^3)/(10^3*(IF(OR(RDTH1Ch="DNI",RDTH1Ch=0),1000000000,RDTH1Ch)+RDTH2Ch))</f>
        <v>0.662903225806452</v>
      </c>
      <c r="AG199">
        <f t="shared" ref="AG199:AG235" si="102">(RDTH2Ch*10^3*P199+IDTH*10^-6*IF(OR(RDTH1Ch="DNI",RDTH1Ch=0),1000000000,RDTH1Ch)*10^3*RDTH2Ch*10^3)/(10^3*(IF(OR(RDTH1Ch="DNI",RDTH1Ch=0),1000000000,RDTH1Ch)+RDTH2Ch))</f>
        <v>0.662903225806452</v>
      </c>
      <c r="AH199">
        <f t="shared" ref="AH199:AH210" si="103">(Nch*VinMin*(AF199+Q199-(CompDel*10^-9*FBGain*RSCh*10^-3*VinMin/(Lch*10^-6))-((FBGain*Nch*RSCh*10^-3*VinMin*(Vforward+O199))/(2*AD199*10^3*Lch*10^-6*(VinMin+Nch*(Vforward+O199))))))/(FBGain*RSCh*10^-3*(VinMin+Nch*(Vforward+O199)))</f>
        <v>0.4056183462436912</v>
      </c>
      <c r="AI199">
        <f t="shared" ref="AI199:AI210" si="104">(Nch*VinMax*(AG199+R199-(CompDel*10^-9*FBGain*RSCh*10^-3*VinMax/(Lch*10^-6))-((FBGain*Nch*RSCh*10^-3*VinMax*(Vforward+O199))/(2*AE199*10^3*Lch*10^-6*(VinMax+Nch*(Vforward+O199))))))/(FBGain*RSCh*10^-3*(VinMax+Nch*(Vforward+O199)))</f>
        <v>-0.73439031889894524</v>
      </c>
    </row>
    <row r="200" spans="1:35" x14ac:dyDescent="0.25">
      <c r="A200" t="s">
        <v>346</v>
      </c>
      <c r="B200">
        <f>DepthNumber12*Number123</f>
        <v>576</v>
      </c>
      <c r="F200">
        <v>0.65000000000000102</v>
      </c>
      <c r="G200">
        <f t="shared" si="80"/>
        <v>14.750000000000016</v>
      </c>
      <c r="H200">
        <f t="shared" si="81"/>
        <v>0.34975308641975367</v>
      </c>
      <c r="I200">
        <f t="shared" si="79"/>
        <v>1.84</v>
      </c>
      <c r="J200">
        <f t="shared" si="82"/>
        <v>0.68859661016949092</v>
      </c>
      <c r="K200">
        <f t="shared" si="83"/>
        <v>0.19325351452671058</v>
      </c>
      <c r="L200">
        <f t="shared" si="53"/>
        <v>1.36</v>
      </c>
      <c r="M200">
        <f t="shared" si="84"/>
        <v>0.37618983050847427</v>
      </c>
      <c r="O200">
        <f t="shared" si="85"/>
        <v>14.750000000000016</v>
      </c>
      <c r="P200">
        <f t="shared" si="86"/>
        <v>11.062500000000012</v>
      </c>
      <c r="Q200">
        <f t="shared" si="87"/>
        <v>1.3719599999999998E-2</v>
      </c>
      <c r="R200">
        <f t="shared" si="88"/>
        <v>3.1023599999999995E-2</v>
      </c>
      <c r="S200">
        <f t="shared" si="89"/>
        <v>-6.4600569134312127E-2</v>
      </c>
      <c r="T200">
        <f t="shared" si="90"/>
        <v>-0.13869401117530991</v>
      </c>
      <c r="U200">
        <f t="shared" si="91"/>
        <v>0.41040544220192998</v>
      </c>
      <c r="V200">
        <f t="shared" si="92"/>
        <v>0.19112437274388502</v>
      </c>
      <c r="W200">
        <f t="shared" si="93"/>
        <v>137.1173183720943</v>
      </c>
      <c r="X200">
        <f t="shared" si="94"/>
        <v>403.87033902994364</v>
      </c>
      <c r="Y200">
        <f t="shared" si="95"/>
        <v>0.85052307692307694</v>
      </c>
      <c r="Z200">
        <f t="shared" si="96"/>
        <v>0.6614353846153852</v>
      </c>
      <c r="AA200">
        <f t="shared" ref="AA200:AA210" si="105">Z200/O200</f>
        <v>4.4843076923076916E-2</v>
      </c>
      <c r="AB200">
        <f t="shared" si="97"/>
        <v>805.1007142633448</v>
      </c>
      <c r="AC200">
        <f t="shared" si="98"/>
        <v>681.67514214808477</v>
      </c>
      <c r="AD200">
        <f t="shared" si="99"/>
        <v>420.00000000000006</v>
      </c>
      <c r="AE200">
        <f t="shared" si="100"/>
        <v>420.00000000000006</v>
      </c>
      <c r="AF200">
        <f t="shared" si="101"/>
        <v>0.66653225806451655</v>
      </c>
      <c r="AG200">
        <f t="shared" si="102"/>
        <v>0.66653225806451655</v>
      </c>
      <c r="AH200">
        <f t="shared" si="103"/>
        <v>0.40572964994948357</v>
      </c>
      <c r="AI200">
        <f t="shared" si="104"/>
        <v>-0.74376532625039982</v>
      </c>
    </row>
    <row r="201" spans="1:35" x14ac:dyDescent="0.25">
      <c r="A201" t="s">
        <v>347</v>
      </c>
      <c r="B201">
        <f>ROUND(totalnumber12/Nsec,0)</f>
        <v>144</v>
      </c>
      <c r="F201">
        <v>0.66000000000000103</v>
      </c>
      <c r="G201">
        <f t="shared" si="80"/>
        <v>14.900000000000016</v>
      </c>
      <c r="H201">
        <f t="shared" si="81"/>
        <v>0.3553086419753092</v>
      </c>
      <c r="I201">
        <f t="shared" si="79"/>
        <v>1.84</v>
      </c>
      <c r="J201">
        <f t="shared" si="82"/>
        <v>0.68166442953020079</v>
      </c>
      <c r="K201">
        <f t="shared" si="83"/>
        <v>0.19504592314901611</v>
      </c>
      <c r="L201">
        <f t="shared" si="53"/>
        <v>1.36</v>
      </c>
      <c r="M201">
        <f t="shared" si="84"/>
        <v>0.37240268456375808</v>
      </c>
      <c r="O201">
        <f t="shared" si="85"/>
        <v>14.900000000000016</v>
      </c>
      <c r="P201">
        <f t="shared" si="86"/>
        <v>11.175000000000011</v>
      </c>
      <c r="Q201">
        <f t="shared" si="87"/>
        <v>1.3719599999999998E-2</v>
      </c>
      <c r="R201">
        <f t="shared" si="88"/>
        <v>3.1023599999999995E-2</v>
      </c>
      <c r="S201">
        <f t="shared" si="89"/>
        <v>-6.4870013578756561E-2</v>
      </c>
      <c r="T201">
        <f t="shared" si="90"/>
        <v>-0.13896345561975434</v>
      </c>
      <c r="U201">
        <f t="shared" si="91"/>
        <v>0.41285548195931898</v>
      </c>
      <c r="V201">
        <f t="shared" si="92"/>
        <v>0.19269292328001558</v>
      </c>
      <c r="W201">
        <f t="shared" si="93"/>
        <v>137.11706228876926</v>
      </c>
      <c r="X201">
        <f t="shared" si="94"/>
        <v>403.87025205824824</v>
      </c>
      <c r="Y201">
        <f t="shared" si="95"/>
        <v>0.85057846153846151</v>
      </c>
      <c r="Z201">
        <f t="shared" si="96"/>
        <v>0.66791427692307781</v>
      </c>
      <c r="AA201">
        <f t="shared" si="105"/>
        <v>4.4826461538461551E-2</v>
      </c>
      <c r="AB201">
        <f t="shared" si="97"/>
        <v>805.98112595253656</v>
      </c>
      <c r="AC201">
        <f t="shared" si="98"/>
        <v>683.71781070401994</v>
      </c>
      <c r="AD201">
        <f t="shared" si="99"/>
        <v>420.00000000000006</v>
      </c>
      <c r="AE201">
        <f t="shared" si="100"/>
        <v>420.00000000000006</v>
      </c>
      <c r="AF201">
        <f t="shared" si="101"/>
        <v>0.67016129032258098</v>
      </c>
      <c r="AG201">
        <f t="shared" si="102"/>
        <v>0.67016129032258098</v>
      </c>
      <c r="AH201">
        <f t="shared" si="103"/>
        <v>0.4059313645475297</v>
      </c>
      <c r="AI201">
        <f t="shared" si="104"/>
        <v>-0.75299399570202452</v>
      </c>
    </row>
    <row r="202" spans="1:35" x14ac:dyDescent="0.25">
      <c r="A202" t="s">
        <v>348</v>
      </c>
      <c r="B202">
        <f>ROUND(Number123/para12,0)</f>
        <v>0</v>
      </c>
      <c r="F202">
        <v>0.67000000000000104</v>
      </c>
      <c r="G202">
        <f t="shared" si="80"/>
        <v>15.050000000000015</v>
      </c>
      <c r="H202">
        <f t="shared" si="81"/>
        <v>0.36086419753086485</v>
      </c>
      <c r="I202">
        <f t="shared" si="79"/>
        <v>1.84</v>
      </c>
      <c r="J202">
        <f t="shared" si="82"/>
        <v>0.67487043189368723</v>
      </c>
      <c r="K202">
        <f t="shared" si="83"/>
        <v>0.19683833177132162</v>
      </c>
      <c r="L202">
        <f t="shared" si="53"/>
        <v>1.36</v>
      </c>
      <c r="M202">
        <f t="shared" si="84"/>
        <v>0.36869102990033198</v>
      </c>
      <c r="O202">
        <f t="shared" si="85"/>
        <v>15.050000000000015</v>
      </c>
      <c r="P202">
        <f t="shared" si="86"/>
        <v>11.287500000000012</v>
      </c>
      <c r="Q202">
        <f t="shared" si="87"/>
        <v>1.3719599999999998E-2</v>
      </c>
      <c r="R202">
        <f t="shared" si="88"/>
        <v>3.1023599999999995E-2</v>
      </c>
      <c r="S202">
        <f t="shared" si="89"/>
        <v>-6.5139458023201008E-2</v>
      </c>
      <c r="T202">
        <f t="shared" si="90"/>
        <v>-0.13923290006419881</v>
      </c>
      <c r="U202">
        <f t="shared" si="91"/>
        <v>0.41528525290817542</v>
      </c>
      <c r="V202">
        <f t="shared" si="92"/>
        <v>0.19425540287705639</v>
      </c>
      <c r="W202">
        <f t="shared" si="93"/>
        <v>137.11680620544422</v>
      </c>
      <c r="X202">
        <f t="shared" si="94"/>
        <v>403.87016508655296</v>
      </c>
      <c r="Y202">
        <f t="shared" si="95"/>
        <v>0.85063384615384618</v>
      </c>
      <c r="Z202">
        <f t="shared" si="96"/>
        <v>0.67438818461538508</v>
      </c>
      <c r="AA202">
        <f t="shared" si="105"/>
        <v>4.4809846153846138E-2</v>
      </c>
      <c r="AB202">
        <f t="shared" si="97"/>
        <v>806.82955569405806</v>
      </c>
      <c r="AC202">
        <f t="shared" si="98"/>
        <v>685.72927103487916</v>
      </c>
      <c r="AD202">
        <f t="shared" si="99"/>
        <v>420.00000000000006</v>
      </c>
      <c r="AE202">
        <f t="shared" si="100"/>
        <v>420.00000000000006</v>
      </c>
      <c r="AF202">
        <f t="shared" si="101"/>
        <v>0.67379032258064553</v>
      </c>
      <c r="AG202">
        <f t="shared" si="102"/>
        <v>0.67379032258064553</v>
      </c>
      <c r="AH202">
        <f t="shared" si="103"/>
        <v>0.40622123938524957</v>
      </c>
      <c r="AI202">
        <f t="shared" si="104"/>
        <v>-0.7620778141164003</v>
      </c>
    </row>
    <row r="203" spans="1:35" x14ac:dyDescent="0.25">
      <c r="A203" t="s">
        <v>349</v>
      </c>
      <c r="B203">
        <f>pcop*SecLength/(CrossSectionalAreaofWireSec*10^-3)/SecNumWireCh</f>
        <v>9.4504930620795558E-3</v>
      </c>
      <c r="F203">
        <v>0.68000000000000105</v>
      </c>
      <c r="G203">
        <f t="shared" si="80"/>
        <v>15.200000000000015</v>
      </c>
      <c r="H203">
        <f t="shared" si="81"/>
        <v>0.36641975308642027</v>
      </c>
      <c r="I203">
        <f t="shared" si="79"/>
        <v>1.84</v>
      </c>
      <c r="J203">
        <f t="shared" si="82"/>
        <v>0.66821052631578892</v>
      </c>
      <c r="K203">
        <f t="shared" si="83"/>
        <v>0.19863074039362716</v>
      </c>
      <c r="L203">
        <f t="shared" si="53"/>
        <v>1.36</v>
      </c>
      <c r="M203">
        <f t="shared" si="84"/>
        <v>0.36505263157894713</v>
      </c>
      <c r="O203">
        <f t="shared" si="85"/>
        <v>15.200000000000015</v>
      </c>
      <c r="P203">
        <f t="shared" si="86"/>
        <v>11.400000000000011</v>
      </c>
      <c r="Q203">
        <f t="shared" si="87"/>
        <v>1.3719599999999998E-2</v>
      </c>
      <c r="R203">
        <f t="shared" si="88"/>
        <v>3.1023599999999995E-2</v>
      </c>
      <c r="S203">
        <f t="shared" si="89"/>
        <v>-6.5408902467645455E-2</v>
      </c>
      <c r="T203">
        <f t="shared" si="90"/>
        <v>-0.13950234450864324</v>
      </c>
      <c r="U203">
        <f t="shared" si="91"/>
        <v>0.41769500553356986</v>
      </c>
      <c r="V203">
        <f t="shared" si="92"/>
        <v>0.19581184671249816</v>
      </c>
      <c r="W203">
        <f t="shared" si="93"/>
        <v>137.11655012211924</v>
      </c>
      <c r="X203">
        <f t="shared" si="94"/>
        <v>403.87007811485779</v>
      </c>
      <c r="Y203">
        <f t="shared" si="95"/>
        <v>0.85068923076923075</v>
      </c>
      <c r="Z203">
        <f t="shared" si="96"/>
        <v>0.68085710769230834</v>
      </c>
      <c r="AA203">
        <f t="shared" si="105"/>
        <v>4.4793230769230766E-2</v>
      </c>
      <c r="AB203">
        <f t="shared" si="97"/>
        <v>807.64680262871627</v>
      </c>
      <c r="AC203">
        <f t="shared" si="98"/>
        <v>687.71015806886419</v>
      </c>
      <c r="AD203">
        <f t="shared" si="99"/>
        <v>420.00000000000006</v>
      </c>
      <c r="AE203">
        <f t="shared" si="100"/>
        <v>420.00000000000006</v>
      </c>
      <c r="AF203">
        <f t="shared" si="101"/>
        <v>0.67741935483871007</v>
      </c>
      <c r="AG203">
        <f t="shared" si="102"/>
        <v>0.67741935483871007</v>
      </c>
      <c r="AH203">
        <f t="shared" si="103"/>
        <v>0.40659707941717665</v>
      </c>
      <c r="AI203">
        <f t="shared" si="104"/>
        <v>-0.77101825195475826</v>
      </c>
    </row>
    <row r="204" spans="1:35" x14ac:dyDescent="0.25">
      <c r="A204" t="s">
        <v>350</v>
      </c>
      <c r="B204">
        <f>DiameterAWGSec*10^-3/SkinDepthVinminVoutmaxIoutMVout*wireR12+wireR12</f>
        <v>1.9719987520885482E-2</v>
      </c>
      <c r="F204">
        <v>0.69000000000000095</v>
      </c>
      <c r="G204">
        <f t="shared" si="80"/>
        <v>15.350000000000014</v>
      </c>
      <c r="H204">
        <f t="shared" si="81"/>
        <v>0.37197530864197581</v>
      </c>
      <c r="I204">
        <f t="shared" si="79"/>
        <v>1.84</v>
      </c>
      <c r="J204">
        <f t="shared" si="82"/>
        <v>0.66168078175895717</v>
      </c>
      <c r="K204">
        <f t="shared" si="83"/>
        <v>0.20042314901593269</v>
      </c>
      <c r="L204">
        <f t="shared" si="53"/>
        <v>1.36</v>
      </c>
      <c r="M204">
        <f t="shared" si="84"/>
        <v>0.36148534201954374</v>
      </c>
      <c r="O204">
        <f t="shared" si="85"/>
        <v>15.350000000000014</v>
      </c>
      <c r="P204">
        <f t="shared" si="86"/>
        <v>11.51250000000001</v>
      </c>
      <c r="Q204">
        <f t="shared" si="87"/>
        <v>1.3719599999999998E-2</v>
      </c>
      <c r="R204">
        <f t="shared" si="88"/>
        <v>3.1023599999999995E-2</v>
      </c>
      <c r="S204">
        <f t="shared" si="89"/>
        <v>-6.5678346912089888E-2</v>
      </c>
      <c r="T204">
        <f t="shared" si="90"/>
        <v>-0.13977178895308767</v>
      </c>
      <c r="U204">
        <f t="shared" si="91"/>
        <v>0.42008498621012813</v>
      </c>
      <c r="V204">
        <f t="shared" si="92"/>
        <v>0.1973622896925786</v>
      </c>
      <c r="W204">
        <f t="shared" si="93"/>
        <v>137.11629403879417</v>
      </c>
      <c r="X204">
        <f t="shared" si="94"/>
        <v>403.86999114316239</v>
      </c>
      <c r="Y204">
        <f t="shared" si="95"/>
        <v>0.85074461538461532</v>
      </c>
      <c r="Z204">
        <f t="shared" si="96"/>
        <v>0.68732104615384704</v>
      </c>
      <c r="AA204">
        <f t="shared" si="105"/>
        <v>4.4776615384615401E-2</v>
      </c>
      <c r="AB204">
        <f t="shared" si="97"/>
        <v>808.43364155882239</v>
      </c>
      <c r="AC204">
        <f t="shared" si="98"/>
        <v>689.66108969913023</v>
      </c>
      <c r="AD204">
        <f t="shared" si="99"/>
        <v>420.00000000000006</v>
      </c>
      <c r="AE204">
        <f t="shared" si="100"/>
        <v>420.00000000000006</v>
      </c>
      <c r="AF204">
        <f t="shared" si="101"/>
        <v>0.68104838709677462</v>
      </c>
      <c r="AG204">
        <f t="shared" si="102"/>
        <v>0.68104838709677462</v>
      </c>
      <c r="AH204">
        <f t="shared" si="103"/>
        <v>0.40705674368595463</v>
      </c>
      <c r="AI204">
        <f t="shared" si="104"/>
        <v>-0.77981676348233642</v>
      </c>
    </row>
    <row r="205" spans="1:35" x14ac:dyDescent="0.25">
      <c r="A205" t="s">
        <v>351</v>
      </c>
      <c r="B205">
        <f>ISECRMS^2*RtotS122</f>
        <v>0.70498474056937599</v>
      </c>
      <c r="F205">
        <v>0.70000000000000095</v>
      </c>
      <c r="G205">
        <f t="shared" si="80"/>
        <v>15.500000000000014</v>
      </c>
      <c r="H205">
        <f t="shared" si="81"/>
        <v>0.37753086419753135</v>
      </c>
      <c r="I205">
        <f t="shared" si="79"/>
        <v>1.84</v>
      </c>
      <c r="J205">
        <f t="shared" si="82"/>
        <v>0.6552774193548383</v>
      </c>
      <c r="K205">
        <f t="shared" si="83"/>
        <v>0.20221555763823823</v>
      </c>
      <c r="L205">
        <f t="shared" si="53"/>
        <v>1.36</v>
      </c>
      <c r="M205">
        <f t="shared" si="84"/>
        <v>0.35798709677419333</v>
      </c>
      <c r="O205">
        <f t="shared" si="85"/>
        <v>15.500000000000014</v>
      </c>
      <c r="P205">
        <f t="shared" si="86"/>
        <v>11.625000000000011</v>
      </c>
      <c r="Q205">
        <f t="shared" si="87"/>
        <v>1.3719599999999998E-2</v>
      </c>
      <c r="R205">
        <f t="shared" si="88"/>
        <v>3.1023599999999995E-2</v>
      </c>
      <c r="S205">
        <f t="shared" si="89"/>
        <v>-6.5947791356534335E-2</v>
      </c>
      <c r="T205">
        <f t="shared" si="90"/>
        <v>-0.14004123339753211</v>
      </c>
      <c r="U205">
        <f t="shared" si="91"/>
        <v>0.42245543728600132</v>
      </c>
      <c r="V205">
        <f t="shared" si="92"/>
        <v>0.198906766454892</v>
      </c>
      <c r="W205">
        <f t="shared" si="93"/>
        <v>137.11603795546915</v>
      </c>
      <c r="X205">
        <f t="shared" si="94"/>
        <v>403.86990417146711</v>
      </c>
      <c r="Y205">
        <f t="shared" si="95"/>
        <v>0.8508</v>
      </c>
      <c r="Z205">
        <f t="shared" si="96"/>
        <v>0.69378000000000062</v>
      </c>
      <c r="AA205">
        <f t="shared" si="105"/>
        <v>4.4760000000000001E-2</v>
      </c>
      <c r="AB205">
        <f t="shared" si="97"/>
        <v>809.19082385523154</v>
      </c>
      <c r="AC205">
        <f t="shared" si="98"/>
        <v>691.58266735119287</v>
      </c>
      <c r="AD205">
        <f t="shared" si="99"/>
        <v>420.00000000000006</v>
      </c>
      <c r="AE205">
        <f t="shared" si="100"/>
        <v>420.00000000000006</v>
      </c>
      <c r="AF205">
        <f t="shared" si="101"/>
        <v>0.68467741935483906</v>
      </c>
      <c r="AG205">
        <f t="shared" si="102"/>
        <v>0.68467741935483906</v>
      </c>
      <c r="AH205">
        <f t="shared" si="103"/>
        <v>0.40759814384980364</v>
      </c>
      <c r="AI205">
        <f t="shared" si="104"/>
        <v>-0.78847478697082618</v>
      </c>
    </row>
    <row r="206" spans="1:35" x14ac:dyDescent="0.25">
      <c r="A206" t="s">
        <v>352</v>
      </c>
      <c r="B206">
        <f>pcop*PriAuxLength/(CrossSectionalAreaofWire*10^-3)</f>
        <v>0.61985849380829172</v>
      </c>
      <c r="F206">
        <v>0.71000000000000096</v>
      </c>
      <c r="G206">
        <f t="shared" si="80"/>
        <v>15.650000000000015</v>
      </c>
      <c r="H206">
        <f t="shared" si="81"/>
        <v>0.38308641975308699</v>
      </c>
      <c r="I206">
        <f t="shared" si="79"/>
        <v>1.84</v>
      </c>
      <c r="J206">
        <f t="shared" si="82"/>
        <v>0.64899680511182067</v>
      </c>
      <c r="K206">
        <f t="shared" si="83"/>
        <v>0.20400796626054374</v>
      </c>
      <c r="L206">
        <f t="shared" si="53"/>
        <v>1.36</v>
      </c>
      <c r="M206">
        <f t="shared" si="84"/>
        <v>0.35455591054313079</v>
      </c>
      <c r="O206">
        <f t="shared" si="85"/>
        <v>15.650000000000015</v>
      </c>
      <c r="P206">
        <f t="shared" si="86"/>
        <v>11.737500000000011</v>
      </c>
      <c r="Q206">
        <f t="shared" si="87"/>
        <v>1.3719599999999998E-2</v>
      </c>
      <c r="R206">
        <f t="shared" si="88"/>
        <v>3.1023599999999995E-2</v>
      </c>
      <c r="S206">
        <f t="shared" si="89"/>
        <v>-6.6217235800978783E-2</v>
      </c>
      <c r="T206">
        <f t="shared" si="90"/>
        <v>-0.14031067784197657</v>
      </c>
      <c r="U206">
        <f t="shared" si="91"/>
        <v>0.42480659716478675</v>
      </c>
      <c r="V206">
        <f t="shared" si="92"/>
        <v>0.20044531137096844</v>
      </c>
      <c r="W206">
        <f t="shared" si="93"/>
        <v>137.11578187214411</v>
      </c>
      <c r="X206">
        <f t="shared" si="94"/>
        <v>403.86981719977183</v>
      </c>
      <c r="Y206">
        <f t="shared" si="95"/>
        <v>0.85085538461538457</v>
      </c>
      <c r="Z206">
        <f t="shared" si="96"/>
        <v>0.70023396923076997</v>
      </c>
      <c r="AA206">
        <f t="shared" si="105"/>
        <v>4.4743384615384622E-2</v>
      </c>
      <c r="AB206">
        <f t="shared" si="97"/>
        <v>809.91907832422146</v>
      </c>
      <c r="AC206">
        <f t="shared" si="98"/>
        <v>693.47547652780474</v>
      </c>
      <c r="AD206">
        <f t="shared" si="99"/>
        <v>420.00000000000006</v>
      </c>
      <c r="AE206">
        <f t="shared" si="100"/>
        <v>420.00000000000006</v>
      </c>
      <c r="AF206">
        <f t="shared" si="101"/>
        <v>0.6883064516129036</v>
      </c>
      <c r="AG206">
        <f t="shared" si="102"/>
        <v>0.6883064516129036</v>
      </c>
      <c r="AH206">
        <f t="shared" si="103"/>
        <v>0.40821924275487942</v>
      </c>
      <c r="AI206">
        <f t="shared" si="104"/>
        <v>-0.79699374489794916</v>
      </c>
    </row>
    <row r="207" spans="1:35" x14ac:dyDescent="0.25">
      <c r="A207" t="s">
        <v>353</v>
      </c>
      <c r="B207">
        <f>DiameterAWG*10^-3/SkinDepthVinminVoutmaxIoutMVout*wireR123+wireR123</f>
        <v>1.1548996056762229</v>
      </c>
      <c r="F207">
        <v>0.72000000000000097</v>
      </c>
      <c r="G207">
        <f t="shared" si="80"/>
        <v>15.800000000000015</v>
      </c>
      <c r="H207">
        <f t="shared" si="81"/>
        <v>0.38864197530864253</v>
      </c>
      <c r="I207">
        <f t="shared" si="79"/>
        <v>1.84</v>
      </c>
      <c r="J207">
        <f t="shared" si="82"/>
        <v>0.64283544303797424</v>
      </c>
      <c r="K207">
        <f t="shared" si="83"/>
        <v>0.20580037488284927</v>
      </c>
      <c r="L207">
        <f t="shared" si="53"/>
        <v>1.36</v>
      </c>
      <c r="M207">
        <f t="shared" si="84"/>
        <v>0.35118987341772129</v>
      </c>
      <c r="O207">
        <f t="shared" si="85"/>
        <v>15.800000000000015</v>
      </c>
      <c r="P207">
        <f t="shared" si="86"/>
        <v>11.850000000000012</v>
      </c>
      <c r="Q207">
        <f t="shared" si="87"/>
        <v>1.3719599999999998E-2</v>
      </c>
      <c r="R207">
        <f t="shared" si="88"/>
        <v>3.1023599999999995E-2</v>
      </c>
      <c r="S207">
        <f t="shared" si="89"/>
        <v>-6.648668024542323E-2</v>
      </c>
      <c r="T207">
        <f t="shared" si="90"/>
        <v>-0.14058012228642103</v>
      </c>
      <c r="U207">
        <f t="shared" si="91"/>
        <v>0.42713870038545659</v>
      </c>
      <c r="V207">
        <f t="shared" si="92"/>
        <v>0.2019779585488238</v>
      </c>
      <c r="W207">
        <f t="shared" si="93"/>
        <v>137.1155257888191</v>
      </c>
      <c r="X207">
        <f t="shared" si="94"/>
        <v>403.86973022807655</v>
      </c>
      <c r="Y207">
        <f t="shared" si="95"/>
        <v>0.85091076923076925</v>
      </c>
      <c r="Z207">
        <f t="shared" si="96"/>
        <v>0.70668295384615443</v>
      </c>
      <c r="AA207">
        <f t="shared" si="105"/>
        <v>4.4726769230769223E-2</v>
      </c>
      <c r="AB207">
        <f t="shared" si="97"/>
        <v>810.61911203626062</v>
      </c>
      <c r="AC207">
        <f t="shared" si="98"/>
        <v>695.34008733234202</v>
      </c>
      <c r="AD207">
        <f t="shared" si="99"/>
        <v>420.00000000000006</v>
      </c>
      <c r="AE207">
        <f t="shared" si="100"/>
        <v>420.00000000000006</v>
      </c>
      <c r="AF207">
        <f t="shared" si="101"/>
        <v>0.69193548387096815</v>
      </c>
      <c r="AG207">
        <f t="shared" si="102"/>
        <v>0.69193548387096815</v>
      </c>
      <c r="AH207">
        <f t="shared" si="103"/>
        <v>0.40891805305098999</v>
      </c>
      <c r="AI207">
        <f t="shared" si="104"/>
        <v>-0.80537504414421479</v>
      </c>
    </row>
    <row r="208" spans="1:35" x14ac:dyDescent="0.25">
      <c r="A208" t="s">
        <v>354</v>
      </c>
      <c r="B208">
        <f>ICC1568P^2*RtotPA1</f>
        <v>2.1057169020334006E-5</v>
      </c>
      <c r="F208">
        <v>0.73000000000000098</v>
      </c>
      <c r="G208">
        <f t="shared" si="80"/>
        <v>15.950000000000015</v>
      </c>
      <c r="H208">
        <f t="shared" si="81"/>
        <v>0.39419753086419806</v>
      </c>
      <c r="I208">
        <f t="shared" si="79"/>
        <v>2</v>
      </c>
      <c r="J208">
        <f t="shared" si="82"/>
        <v>0.75235109717868276</v>
      </c>
      <c r="K208">
        <f t="shared" si="83"/>
        <v>0.20759278350515481</v>
      </c>
      <c r="L208">
        <f t="shared" si="53"/>
        <v>1.36</v>
      </c>
      <c r="M208">
        <f t="shared" si="84"/>
        <v>0.34788714733542297</v>
      </c>
      <c r="O208">
        <f t="shared" si="85"/>
        <v>15.950000000000015</v>
      </c>
      <c r="P208">
        <f t="shared" si="86"/>
        <v>11.962500000000011</v>
      </c>
      <c r="Q208">
        <f t="shared" si="87"/>
        <v>1.3719599999999998E-2</v>
      </c>
      <c r="R208">
        <f t="shared" si="88"/>
        <v>3.1023599999999995E-2</v>
      </c>
      <c r="S208">
        <f t="shared" si="89"/>
        <v>-6.6756124689867677E-2</v>
      </c>
      <c r="T208">
        <f t="shared" si="90"/>
        <v>-0.14084956673086546</v>
      </c>
      <c r="U208">
        <f t="shared" si="91"/>
        <v>0.42945197770035065</v>
      </c>
      <c r="V208">
        <f t="shared" si="92"/>
        <v>0.2035047418354802</v>
      </c>
      <c r="W208">
        <f t="shared" si="93"/>
        <v>137.11526970549406</v>
      </c>
      <c r="X208">
        <f t="shared" si="94"/>
        <v>403.86964325638127</v>
      </c>
      <c r="Y208">
        <f t="shared" si="95"/>
        <v>0.85096615384615382</v>
      </c>
      <c r="Z208">
        <f t="shared" si="96"/>
        <v>0.71312695384615465</v>
      </c>
      <c r="AA208">
        <f t="shared" si="105"/>
        <v>4.4710153846153851E-2</v>
      </c>
      <c r="AB208">
        <f t="shared" si="97"/>
        <v>811.29161111861094</v>
      </c>
      <c r="AC208">
        <f t="shared" si="98"/>
        <v>697.17705497167969</v>
      </c>
      <c r="AD208">
        <f t="shared" si="99"/>
        <v>420.00000000000006</v>
      </c>
      <c r="AE208">
        <f t="shared" si="100"/>
        <v>420.00000000000006</v>
      </c>
      <c r="AF208">
        <f t="shared" si="101"/>
        <v>0.69556451612903258</v>
      </c>
      <c r="AG208">
        <f t="shared" si="102"/>
        <v>0.69556451612903258</v>
      </c>
      <c r="AH208">
        <f t="shared" si="103"/>
        <v>0.40969263584921289</v>
      </c>
      <c r="AI208">
        <f t="shared" si="104"/>
        <v>-0.81362007618689502</v>
      </c>
    </row>
    <row r="209" spans="1:35" x14ac:dyDescent="0.25">
      <c r="A209" t="s">
        <v>355</v>
      </c>
      <c r="B209">
        <f>PauxWind+PtransSec+PtransDCAC+PcoreSQ22</f>
        <v>3.5105660821531224</v>
      </c>
      <c r="F209">
        <v>0.74000000000000099</v>
      </c>
      <c r="G209">
        <f t="shared" si="80"/>
        <v>16.100000000000016</v>
      </c>
      <c r="H209">
        <f t="shared" si="81"/>
        <v>0.39975308641975371</v>
      </c>
      <c r="I209">
        <f t="shared" si="79"/>
        <v>2</v>
      </c>
      <c r="J209">
        <f t="shared" si="82"/>
        <v>0.74534161490683171</v>
      </c>
      <c r="K209">
        <f t="shared" si="83"/>
        <v>0.20938519212746035</v>
      </c>
      <c r="L209">
        <f t="shared" si="53"/>
        <v>1.36</v>
      </c>
      <c r="M209">
        <f t="shared" si="84"/>
        <v>0.34464596273291903</v>
      </c>
      <c r="O209">
        <f t="shared" si="85"/>
        <v>16.100000000000016</v>
      </c>
      <c r="P209">
        <f t="shared" si="86"/>
        <v>12.075000000000012</v>
      </c>
      <c r="Q209">
        <f t="shared" si="87"/>
        <v>1.3719599999999998E-2</v>
      </c>
      <c r="R209">
        <f t="shared" si="88"/>
        <v>3.1023599999999995E-2</v>
      </c>
      <c r="S209">
        <f t="shared" si="89"/>
        <v>-6.702556913431211E-2</v>
      </c>
      <c r="T209">
        <f t="shared" si="90"/>
        <v>-0.14111901117530989</v>
      </c>
      <c r="U209">
        <f t="shared" si="91"/>
        <v>0.43174665615128865</v>
      </c>
      <c r="V209">
        <f t="shared" si="92"/>
        <v>0.20502569481945759</v>
      </c>
      <c r="W209">
        <f t="shared" si="93"/>
        <v>137.11501362216904</v>
      </c>
      <c r="X209">
        <f t="shared" si="94"/>
        <v>403.86955628468598</v>
      </c>
      <c r="Y209">
        <f t="shared" si="95"/>
        <v>0.8510215384615385</v>
      </c>
      <c r="Z209">
        <f t="shared" si="96"/>
        <v>0.71956596923076976</v>
      </c>
      <c r="AA209">
        <f t="shared" si="105"/>
        <v>4.4693538461538451E-2</v>
      </c>
      <c r="AB209">
        <f t="shared" si="97"/>
        <v>811.93724151359027</v>
      </c>
      <c r="AC209">
        <f t="shared" si="98"/>
        <v>698.98692023948956</v>
      </c>
      <c r="AD209">
        <f t="shared" si="99"/>
        <v>420.00000000000006</v>
      </c>
      <c r="AE209">
        <f t="shared" si="100"/>
        <v>420.00000000000006</v>
      </c>
      <c r="AF209">
        <f t="shared" si="101"/>
        <v>0.69919354838709713</v>
      </c>
      <c r="AG209">
        <f t="shared" si="102"/>
        <v>0.69919354838709713</v>
      </c>
      <c r="AH209">
        <f t="shared" si="103"/>
        <v>0.41054109941999128</v>
      </c>
      <c r="AI209">
        <f t="shared" si="104"/>
        <v>-0.82173021729126228</v>
      </c>
    </row>
    <row r="210" spans="1:35" x14ac:dyDescent="0.25">
      <c r="A210" t="s">
        <v>397</v>
      </c>
      <c r="B210">
        <f>IinDCMax^2*Fuse_Resistance*10^-3</f>
        <v>5.1261902824703918E-3</v>
      </c>
      <c r="C210" t="s">
        <v>4</v>
      </c>
      <c r="F210">
        <v>0.750000000000001</v>
      </c>
      <c r="G210">
        <f t="shared" si="80"/>
        <v>16.250000000000014</v>
      </c>
      <c r="H210">
        <f t="shared" si="81"/>
        <v>0.40530864197530914</v>
      </c>
      <c r="I210">
        <f t="shared" si="79"/>
        <v>2</v>
      </c>
      <c r="J210">
        <f t="shared" si="82"/>
        <v>0.73846153846153795</v>
      </c>
      <c r="K210">
        <f t="shared" si="83"/>
        <v>0.21117760074976585</v>
      </c>
      <c r="L210">
        <f t="shared" si="53"/>
        <v>1.36</v>
      </c>
      <c r="M210">
        <f t="shared" si="84"/>
        <v>0.3414646153846152</v>
      </c>
      <c r="O210">
        <f t="shared" si="85"/>
        <v>16.250000000000014</v>
      </c>
      <c r="P210">
        <f t="shared" si="86"/>
        <v>12.187500000000011</v>
      </c>
      <c r="Q210">
        <f t="shared" si="87"/>
        <v>1.3719599999999998E-2</v>
      </c>
      <c r="R210">
        <f t="shared" si="88"/>
        <v>3.1023599999999995E-2</v>
      </c>
      <c r="S210">
        <f t="shared" si="89"/>
        <v>-6.7295013578756557E-2</v>
      </c>
      <c r="T210">
        <f t="shared" si="90"/>
        <v>-0.14138845561975433</v>
      </c>
      <c r="U210">
        <f t="shared" si="91"/>
        <v>0.43402295914385275</v>
      </c>
      <c r="V210">
        <f t="shared" si="92"/>
        <v>0.20654085083323681</v>
      </c>
      <c r="W210">
        <f t="shared" si="93"/>
        <v>137.11475753884403</v>
      </c>
      <c r="X210">
        <f t="shared" si="94"/>
        <v>403.86946931299059</v>
      </c>
      <c r="Y210">
        <f t="shared" si="95"/>
        <v>0.85107692307692306</v>
      </c>
      <c r="Z210">
        <f t="shared" si="96"/>
        <v>0.72600000000000076</v>
      </c>
      <c r="AA210">
        <f t="shared" si="105"/>
        <v>4.4676923076923086E-2</v>
      </c>
      <c r="AB210">
        <f t="shared" si="97"/>
        <v>812.55664970421628</v>
      </c>
      <c r="AC210">
        <f t="shared" si="98"/>
        <v>700.77020998084265</v>
      </c>
      <c r="AD210">
        <f t="shared" si="99"/>
        <v>420.00000000000006</v>
      </c>
      <c r="AE210">
        <f t="shared" si="100"/>
        <v>420.00000000000006</v>
      </c>
      <c r="AF210">
        <f t="shared" si="101"/>
        <v>0.70282258064516168</v>
      </c>
      <c r="AG210">
        <f t="shared" si="102"/>
        <v>0.70282258064516168</v>
      </c>
      <c r="AH210">
        <f t="shared" si="103"/>
        <v>0.41146159793035092</v>
      </c>
      <c r="AI210">
        <f t="shared" si="104"/>
        <v>-0.82970682869914747</v>
      </c>
    </row>
    <row r="211" spans="1:35" x14ac:dyDescent="0.25">
      <c r="A211" t="s">
        <v>398</v>
      </c>
      <c r="B211">
        <f>ESRBulkCh*ILSSWRMSVinminVoutmaxIoutVoutMax^2*10^-3</f>
        <v>2.979146326464985E-3</v>
      </c>
      <c r="C211" t="s">
        <v>4</v>
      </c>
      <c r="F211">
        <v>0.76000000000000101</v>
      </c>
      <c r="G211">
        <f t="shared" si="80"/>
        <v>16.400000000000013</v>
      </c>
      <c r="H211">
        <f t="shared" ref="H211:H235" si="106">BinVoltageVathZener+IF(((Naux1/Nsec*G211)-Vz)*RZ1Ch/(RZ1Ch+RZ2Ch)&gt;0,((Naux1/Nsec*G211)-Vz)*RZ1Ch/(RZ1Ch+RZ2Ch),0)</f>
        <v>0.41086419753086467</v>
      </c>
      <c r="I211">
        <f t="shared" ref="I211:I235" si="107">IF(H211&lt;0.05,1.04,IF(H211&lt;0.18,1.2,IF(H211&lt;0.22,1.36,IF(H211&lt;0.27,1.52,IF(H211&lt;0.33,1.68,IF(H211&lt;0.39,1.84,IF(H211&lt;0.46,2,IF(H211&lt;0.54,2.16,IF(H211&lt;0.63,2.32,IF(H211&lt;0.74,2.48,IF(H211&lt;0.87,2.64,IF(H211&lt;1.02,2.8,IF(H211&lt;1.19,2.96,IF(H211&lt;1.39,3.12,IF(H211&lt;1.63,3.28)))))))))))))))</f>
        <v>2</v>
      </c>
      <c r="J211">
        <f t="shared" ref="J211:J235" si="108">FswDCMMax*10^3*((I211/(FBGain*RSCh*10^-3))^2)*Lch*10^-6/(2*G211)</f>
        <v>0.73170731707317027</v>
      </c>
      <c r="K211">
        <f t="shared" si="83"/>
        <v>0.21297000937207139</v>
      </c>
      <c r="L211">
        <f t="shared" ref="L211:L235" si="109">IF(K211&lt;0.05,1.04,IF(K211&lt;0.18,1.2,IF(K211&lt;0.22,1.36,IF(K211&lt;0.27,1.52,IF(K211&lt;0.33,1.68,IF(K211&lt;0.39,1.84,IF(K211&lt;0.46,2,IF(K211&lt;0.54,2.16,IF(K211&lt;0.63,2.32,IF(K211&lt;0.74,2.48,IF(K211&lt;0.87,2.64,IF(K211&lt;1.02,2.8,IF(K211&lt;1.19,2.96,IF(K211&lt;1.39,3.12,IF(K211&lt;1.63,3.28)))))))))))))))</f>
        <v>1.36</v>
      </c>
      <c r="M211">
        <f t="shared" ref="M211:M235" si="110">FswDCMMax*10^3*((L211/(FBGain*RSCh*10^-3))^2)*Lch*10^-6/(2*G211)</f>
        <v>0.338341463414634</v>
      </c>
      <c r="O211">
        <f t="shared" si="85"/>
        <v>16.400000000000013</v>
      </c>
      <c r="P211">
        <f t="shared" ref="P211:P235" si="111">Naux1/Nsec*O211</f>
        <v>12.30000000000001</v>
      </c>
      <c r="Q211">
        <f t="shared" si="87"/>
        <v>1.3719599999999998E-2</v>
      </c>
      <c r="R211">
        <f t="shared" si="88"/>
        <v>3.1023599999999995E-2</v>
      </c>
      <c r="S211">
        <f t="shared" ref="S211:S235" si="112">-CswTotal*10^-12*(VinMin+Nch*O211)/(Tzvs*10^-9)</f>
        <v>-6.7564458023201004E-2</v>
      </c>
      <c r="T211">
        <f t="shared" ref="T211:T235" si="113">-CswTotal*10^-12*(VinMax+Nch*O211)/(Tzvs*10^-9)</f>
        <v>-0.14165790006419879</v>
      </c>
      <c r="U211">
        <f t="shared" ref="U211:U235" si="114">O211*Nch/(O211*Nch+VinMin)+(2*FminACF*10^3*AtoDTrans*Lleak*10^-6/(Nch*EffFL*VinMin))</f>
        <v>0.43628110651989405</v>
      </c>
      <c r="V211">
        <f t="shared" ref="V211:V235" si="115">O211*Nch/(O211*Nch+VinMax)+(2*FminACF*10^3*AtoDTrans*Lleak*10^-6/(Nch*EffFL*VinMax))</f>
        <v>0.2080502429556948</v>
      </c>
      <c r="W211">
        <f t="shared" ref="W211:W235" si="116">10^9*IF(CswTotal*10^-12*(VinMin+O211*Nch)*((1-U211)*Nch)/(AtoDTrans*2)&lt;RiseMax,CswTotal*10^-12*(VinMin+O211*Nch)*((1-U211)*Nch)/(AtoDTrans*2),RiseMax)</f>
        <v>137.11450145551899</v>
      </c>
      <c r="X211">
        <f t="shared" ref="X211:X235" si="117">10^9*IF(CswTotal*10^-12*(VinMax+O211*Nch)*((1-V211)*Nch)/(AtoDTrans*2)&lt;RiseMax,CswTotal*10^-12*(VinMax+O211*Nch)*((1-V211)*Nch)/(AtoDTrans*2),RiseMax)</f>
        <v>403.86938234129542</v>
      </c>
      <c r="Y211">
        <f t="shared" ref="Y211:Y235" si="118">(EffFL-Eff4W)/(IoutVoutMax*VoutMax)*AtoDTrans*O211+Eff4W-(EffFL-Eff4W)/(IoutVoutMax*VoutMax)*4</f>
        <v>0.85113230769230763</v>
      </c>
      <c r="Z211">
        <f t="shared" ref="Z211:Z235" si="119">O211*AtoDTrans*(1-Y211)</f>
        <v>0.73242904615384696</v>
      </c>
      <c r="AA211">
        <f t="shared" ref="AA211:AA235" si="120">Z211/O211</f>
        <v>4.4660307692307707E-2</v>
      </c>
      <c r="AB211">
        <f t="shared" ref="AB211:AB235" si="121">1/((1/((VinMin*Nch*O211/(Nch*O211+VinMin))/(2*Lch*10^-6*((AtoDTrans+AA211)/((1-Nch*O211/(Nch*O211+VinMin))*Nch)-S211))))+Tzvs*10^-9+W211*10^-9)/1000</f>
        <v>813.15046340886033</v>
      </c>
      <c r="AC211">
        <f t="shared" ref="AC211:AC235" si="122">1/((1/((VinMax*Nch*O211/(Nch*O211+VinMax))/(2*Lch*10^-6*((AtoDTrans+AA211)/((1-Nch*O211/(Nch*O211+VinMax))*Nch)-T211))))+Tzvs*10^-9+X211*10^-9)/1000</f>
        <v>702.52743753895788</v>
      </c>
      <c r="AD211">
        <f t="shared" ref="AD211:AD235" si="123">IF(AB211&lt;FswACFMinChRt,FswACFMinChRt,IF(AB211&lt;FswACFMax,AB211,FswACFMax))</f>
        <v>420.00000000000006</v>
      </c>
      <c r="AE211">
        <f t="shared" ref="AE211:AE235" si="124">IF(AC211&lt;FswACFMinChRt,FswACFMinChRt,IF(AC211&lt;FswACFMax,AC211,FswACFMax))</f>
        <v>420.00000000000006</v>
      </c>
      <c r="AF211">
        <f t="shared" si="101"/>
        <v>0.70645161290322622</v>
      </c>
      <c r="AG211">
        <f t="shared" si="102"/>
        <v>0.70645161290322622</v>
      </c>
      <c r="AH211">
        <f t="shared" ref="AH211:AH235" si="125">(Nch*VinMin*(AF211+Q211-(CompDel*10^-9*FBGain*RSCh*10^-3*VinMin/(Lch*10^-6))-((FBGain*Nch*RSCh*10^-3*VinMin*(Vforward+O211))/(2*AD211*10^3*Lch*10^-6*(VinMin+Nch*(Vforward+O211))))))/(FBGain*RSCh*10^-3*(VinMin+Nch*(Vforward+O211)))</f>
        <v>0.41245233021892541</v>
      </c>
      <c r="AI211">
        <f t="shared" ref="AI211:AI235" si="126">(Nch*VinMax*(AG211+R211-(CompDel*10^-9*FBGain*RSCh*10^-3*VinMax/(Lch*10^-6))-((FBGain*Nch*RSCh*10^-3*VinMax*(Vforward+O211))/(2*AE211*10^3*Lch*10^-6*(VinMax+Nch*(Vforward+O211))))))/(FBGain*RSCh*10^-3*(VinMax+Nch*(Vforward+O211)))</f>
        <v>-0.83755125681483378</v>
      </c>
    </row>
    <row r="212" spans="1:35" x14ac:dyDescent="0.25">
      <c r="A212" t="s">
        <v>419</v>
      </c>
      <c r="B212">
        <f>IATH*10^-6*10^3*RZ1Ch</f>
        <v>7.9999999999999988E-2</v>
      </c>
      <c r="F212">
        <v>0.77000000000000102</v>
      </c>
      <c r="G212">
        <f t="shared" si="80"/>
        <v>16.550000000000015</v>
      </c>
      <c r="H212">
        <f t="shared" si="106"/>
        <v>0.41641975308642032</v>
      </c>
      <c r="I212">
        <f t="shared" si="107"/>
        <v>2</v>
      </c>
      <c r="J212">
        <f t="shared" si="108"/>
        <v>0.72507552870090575</v>
      </c>
      <c r="K212">
        <f t="shared" si="83"/>
        <v>0.21476241799437693</v>
      </c>
      <c r="L212">
        <f t="shared" si="109"/>
        <v>1.36</v>
      </c>
      <c r="M212">
        <f t="shared" si="110"/>
        <v>0.33527492447129892</v>
      </c>
      <c r="O212">
        <f t="shared" si="85"/>
        <v>16.550000000000015</v>
      </c>
      <c r="P212">
        <f t="shared" si="111"/>
        <v>12.412500000000012</v>
      </c>
      <c r="Q212">
        <f t="shared" si="87"/>
        <v>1.3719599999999998E-2</v>
      </c>
      <c r="R212">
        <f t="shared" si="88"/>
        <v>3.1023599999999995E-2</v>
      </c>
      <c r="S212">
        <f t="shared" si="112"/>
        <v>-6.7833902467645452E-2</v>
      </c>
      <c r="T212">
        <f t="shared" si="113"/>
        <v>-0.14192734450864325</v>
      </c>
      <c r="U212">
        <f t="shared" si="114"/>
        <v>0.43852131462831034</v>
      </c>
      <c r="V212">
        <f t="shared" si="115"/>
        <v>0.2095539040145119</v>
      </c>
      <c r="W212">
        <f t="shared" si="116"/>
        <v>137.11424537219395</v>
      </c>
      <c r="X212">
        <f t="shared" si="117"/>
        <v>403.86929536960014</v>
      </c>
      <c r="Y212">
        <f t="shared" si="118"/>
        <v>0.85118769230769231</v>
      </c>
      <c r="Z212">
        <f t="shared" si="119"/>
        <v>0.73885310769230828</v>
      </c>
      <c r="AA212">
        <f t="shared" si="120"/>
        <v>4.4643692307692301E-2</v>
      </c>
      <c r="AB212">
        <f t="shared" si="121"/>
        <v>813.71929224643668</v>
      </c>
      <c r="AC212">
        <f t="shared" si="122"/>
        <v>704.25910318488673</v>
      </c>
      <c r="AD212">
        <f t="shared" si="123"/>
        <v>420.00000000000006</v>
      </c>
      <c r="AE212">
        <f t="shared" si="124"/>
        <v>420.00000000000006</v>
      </c>
      <c r="AF212">
        <f t="shared" si="101"/>
        <v>0.71008064516129066</v>
      </c>
      <c r="AG212">
        <f t="shared" si="102"/>
        <v>0.71008064516129066</v>
      </c>
      <c r="AH212">
        <f t="shared" si="125"/>
        <v>0.41351153860753215</v>
      </c>
      <c r="AI212">
        <f t="shared" si="126"/>
        <v>-0.84526483338835867</v>
      </c>
    </row>
    <row r="213" spans="1:35" x14ac:dyDescent="0.25">
      <c r="A213" t="s">
        <v>420</v>
      </c>
      <c r="B213">
        <f>IATH*RNoZ1Ch*10^3*10^-6</f>
        <v>1.6999999999999998E-2</v>
      </c>
      <c r="F213">
        <v>0.78000000000000103</v>
      </c>
      <c r="G213">
        <f t="shared" si="80"/>
        <v>16.700000000000017</v>
      </c>
      <c r="H213">
        <f t="shared" si="106"/>
        <v>0.42197530864197597</v>
      </c>
      <c r="I213">
        <f t="shared" si="107"/>
        <v>2</v>
      </c>
      <c r="J213">
        <f t="shared" si="108"/>
        <v>0.71856287425149634</v>
      </c>
      <c r="K213">
        <f t="shared" si="83"/>
        <v>0.21655482661668249</v>
      </c>
      <c r="L213">
        <f t="shared" si="109"/>
        <v>1.36</v>
      </c>
      <c r="M213">
        <f t="shared" si="110"/>
        <v>0.33226347305389198</v>
      </c>
      <c r="O213">
        <f t="shared" si="85"/>
        <v>16.700000000000017</v>
      </c>
      <c r="P213">
        <f t="shared" si="111"/>
        <v>12.525000000000013</v>
      </c>
      <c r="Q213">
        <f t="shared" si="87"/>
        <v>1.3719599999999998E-2</v>
      </c>
      <c r="R213">
        <f t="shared" si="88"/>
        <v>3.1023599999999995E-2</v>
      </c>
      <c r="S213">
        <f t="shared" si="112"/>
        <v>-6.8103346912089899E-2</v>
      </c>
      <c r="T213">
        <f t="shared" si="113"/>
        <v>-0.14219678895308768</v>
      </c>
      <c r="U213">
        <f t="shared" si="114"/>
        <v>0.44074379639414341</v>
      </c>
      <c r="V213">
        <f t="shared" si="115"/>
        <v>0.21105186658855155</v>
      </c>
      <c r="W213">
        <f t="shared" si="116"/>
        <v>137.11398928886894</v>
      </c>
      <c r="X213">
        <f t="shared" si="117"/>
        <v>403.86920839790474</v>
      </c>
      <c r="Y213">
        <f t="shared" si="118"/>
        <v>0.85124307692307688</v>
      </c>
      <c r="Z213">
        <f t="shared" si="119"/>
        <v>0.74527218461538558</v>
      </c>
      <c r="AA213">
        <f t="shared" si="120"/>
        <v>4.4627076923076936E-2</v>
      </c>
      <c r="AB213">
        <f t="shared" si="121"/>
        <v>814.26372837358008</v>
      </c>
      <c r="AC213">
        <f t="shared" si="122"/>
        <v>705.96569453089512</v>
      </c>
      <c r="AD213">
        <f t="shared" si="123"/>
        <v>420.00000000000006</v>
      </c>
      <c r="AE213">
        <f t="shared" si="124"/>
        <v>420.00000000000006</v>
      </c>
      <c r="AF213">
        <f t="shared" si="101"/>
        <v>0.7137096774193552</v>
      </c>
      <c r="AG213">
        <f t="shared" si="102"/>
        <v>0.7137096774193552</v>
      </c>
      <c r="AH213">
        <f t="shared" si="125"/>
        <v>0.41463750774808444</v>
      </c>
      <c r="AI213">
        <f t="shared" si="126"/>
        <v>-0.85284887569624124</v>
      </c>
    </row>
    <row r="214" spans="1:35" x14ac:dyDescent="0.25">
      <c r="A214" t="s">
        <v>424</v>
      </c>
      <c r="B214">
        <f>PtransSec+PtransDCAC+PauxWind</f>
        <v>1.8851840781901024</v>
      </c>
      <c r="F214">
        <v>0.79000000000000103</v>
      </c>
      <c r="G214">
        <f t="shared" si="80"/>
        <v>16.850000000000016</v>
      </c>
      <c r="H214">
        <f t="shared" si="106"/>
        <v>0.4275308641975315</v>
      </c>
      <c r="I214">
        <f t="shared" si="107"/>
        <v>2</v>
      </c>
      <c r="J214">
        <f t="shared" si="108"/>
        <v>0.71216617210682442</v>
      </c>
      <c r="K214">
        <f t="shared" si="83"/>
        <v>0.218347235238988</v>
      </c>
      <c r="L214">
        <f t="shared" si="109"/>
        <v>1.36</v>
      </c>
      <c r="M214">
        <f t="shared" si="110"/>
        <v>0.32930563798219564</v>
      </c>
      <c r="O214">
        <f t="shared" si="85"/>
        <v>16.850000000000016</v>
      </c>
      <c r="P214">
        <f t="shared" si="111"/>
        <v>12.637500000000012</v>
      </c>
      <c r="Q214">
        <f t="shared" si="87"/>
        <v>1.3719599999999998E-2</v>
      </c>
      <c r="R214">
        <f t="shared" si="88"/>
        <v>3.1023599999999995E-2</v>
      </c>
      <c r="S214">
        <f t="shared" si="112"/>
        <v>-6.8372791356534332E-2</v>
      </c>
      <c r="T214">
        <f t="shared" si="113"/>
        <v>-0.14246623339753212</v>
      </c>
      <c r="U214">
        <f t="shared" si="114"/>
        <v>0.44294876138604344</v>
      </c>
      <c r="V214">
        <f t="shared" si="115"/>
        <v>0.21254416301021339</v>
      </c>
      <c r="W214">
        <f t="shared" si="116"/>
        <v>137.11373320554387</v>
      </c>
      <c r="X214">
        <f t="shared" si="117"/>
        <v>403.86912142620946</v>
      </c>
      <c r="Y214">
        <f t="shared" si="118"/>
        <v>0.85129846153846156</v>
      </c>
      <c r="Z214">
        <f t="shared" si="119"/>
        <v>0.75168627692307743</v>
      </c>
      <c r="AA214">
        <f t="shared" si="120"/>
        <v>4.4610461538461529E-2</v>
      </c>
      <c r="AB214">
        <f t="shared" si="121"/>
        <v>814.78434709517603</v>
      </c>
      <c r="AC214">
        <f t="shared" si="122"/>
        <v>707.64768692825555</v>
      </c>
      <c r="AD214">
        <f t="shared" si="123"/>
        <v>420.00000000000006</v>
      </c>
      <c r="AE214">
        <f t="shared" si="124"/>
        <v>420.00000000000006</v>
      </c>
      <c r="AF214">
        <f t="shared" si="101"/>
        <v>0.71733870967741975</v>
      </c>
      <c r="AG214">
        <f t="shared" si="102"/>
        <v>0.71733870967741975</v>
      </c>
      <c r="AH214">
        <f t="shared" si="125"/>
        <v>0.41582856350365882</v>
      </c>
      <c r="AI214">
        <f t="shared" si="126"/>
        <v>-0.86030468671968152</v>
      </c>
    </row>
    <row r="215" spans="1:35" x14ac:dyDescent="0.25">
      <c r="A215" t="s">
        <v>512</v>
      </c>
      <c r="B215">
        <v>1.7E-8</v>
      </c>
      <c r="F215">
        <v>0.80000000000000104</v>
      </c>
      <c r="G215">
        <f t="shared" si="80"/>
        <v>17.000000000000014</v>
      </c>
      <c r="H215">
        <f t="shared" si="106"/>
        <v>0.43308641975308693</v>
      </c>
      <c r="I215">
        <f t="shared" si="107"/>
        <v>2</v>
      </c>
      <c r="J215">
        <f t="shared" si="108"/>
        <v>0.70588235294117596</v>
      </c>
      <c r="K215">
        <f t="shared" si="83"/>
        <v>0.2201396438612935</v>
      </c>
      <c r="L215">
        <f t="shared" si="109"/>
        <v>1.52</v>
      </c>
      <c r="M215">
        <f t="shared" si="110"/>
        <v>0.40771764705882324</v>
      </c>
      <c r="O215">
        <f t="shared" si="85"/>
        <v>17.000000000000014</v>
      </c>
      <c r="P215">
        <f t="shared" si="111"/>
        <v>12.750000000000011</v>
      </c>
      <c r="Q215">
        <f t="shared" si="87"/>
        <v>1.3719599999999998E-2</v>
      </c>
      <c r="R215">
        <f t="shared" si="88"/>
        <v>3.1023599999999995E-2</v>
      </c>
      <c r="S215">
        <f t="shared" si="112"/>
        <v>-6.8642235800978779E-2</v>
      </c>
      <c r="T215">
        <f t="shared" si="113"/>
        <v>-0.14273567784197655</v>
      </c>
      <c r="U215">
        <f t="shared" si="114"/>
        <v>0.44513641588214353</v>
      </c>
      <c r="V215">
        <f t="shared" si="115"/>
        <v>0.2140308253677595</v>
      </c>
      <c r="W215">
        <f t="shared" si="116"/>
        <v>137.11347712221885</v>
      </c>
      <c r="X215">
        <f t="shared" si="117"/>
        <v>403.86903445451418</v>
      </c>
      <c r="Y215">
        <f t="shared" si="118"/>
        <v>0.85135384615384613</v>
      </c>
      <c r="Z215">
        <f t="shared" si="119"/>
        <v>0.75809538461538539</v>
      </c>
      <c r="AA215">
        <f t="shared" si="120"/>
        <v>4.4593846153846164E-2</v>
      </c>
      <c r="AB215">
        <f t="shared" si="121"/>
        <v>815.28170744953331</v>
      </c>
      <c r="AC215">
        <f t="shared" si="122"/>
        <v>709.30554385013374</v>
      </c>
      <c r="AD215">
        <f t="shared" si="123"/>
        <v>420.00000000000006</v>
      </c>
      <c r="AE215">
        <f t="shared" si="124"/>
        <v>420.00000000000006</v>
      </c>
      <c r="AF215">
        <f t="shared" si="101"/>
        <v>0.7209677419354843</v>
      </c>
      <c r="AG215">
        <f t="shared" si="102"/>
        <v>0.7209677419354843</v>
      </c>
      <c r="AH215">
        <f t="shared" si="125"/>
        <v>0.41708307186260513</v>
      </c>
      <c r="AI215">
        <f t="shared" si="126"/>
        <v>-0.86763355532029041</v>
      </c>
    </row>
    <row r="216" spans="1:35" x14ac:dyDescent="0.25">
      <c r="A216" t="s">
        <v>513</v>
      </c>
      <c r="B216">
        <v>1</v>
      </c>
      <c r="F216">
        <v>0.81000000000000105</v>
      </c>
      <c r="G216">
        <f t="shared" si="80"/>
        <v>17.150000000000016</v>
      </c>
      <c r="H216">
        <f t="shared" si="106"/>
        <v>0.43864197530864257</v>
      </c>
      <c r="I216">
        <f t="shared" si="107"/>
        <v>2</v>
      </c>
      <c r="J216">
        <f t="shared" si="108"/>
        <v>0.69970845481049504</v>
      </c>
      <c r="K216">
        <f t="shared" si="83"/>
        <v>0.22193205248359907</v>
      </c>
      <c r="L216">
        <f t="shared" si="109"/>
        <v>1.52</v>
      </c>
      <c r="M216">
        <f t="shared" si="110"/>
        <v>0.4041516034985419</v>
      </c>
      <c r="O216">
        <f t="shared" si="85"/>
        <v>17.150000000000016</v>
      </c>
      <c r="P216">
        <f t="shared" si="111"/>
        <v>12.862500000000011</v>
      </c>
      <c r="Q216">
        <f t="shared" si="87"/>
        <v>1.3719599999999998E-2</v>
      </c>
      <c r="R216">
        <f t="shared" si="88"/>
        <v>3.1023599999999995E-2</v>
      </c>
      <c r="S216">
        <f t="shared" si="112"/>
        <v>-6.8911680245423226E-2</v>
      </c>
      <c r="T216">
        <f t="shared" si="113"/>
        <v>-0.14300512228642101</v>
      </c>
      <c r="U216">
        <f t="shared" si="114"/>
        <v>0.44730696293438982</v>
      </c>
      <c r="V216">
        <f t="shared" si="115"/>
        <v>0.21551188550761435</v>
      </c>
      <c r="W216">
        <f t="shared" si="116"/>
        <v>137.11322103889387</v>
      </c>
      <c r="X216">
        <f t="shared" si="117"/>
        <v>403.8689474828189</v>
      </c>
      <c r="Y216">
        <f t="shared" si="118"/>
        <v>0.85140923076923081</v>
      </c>
      <c r="Z216">
        <f t="shared" si="119"/>
        <v>0.76449950769230823</v>
      </c>
      <c r="AA216">
        <f t="shared" si="120"/>
        <v>4.4577230769230758E-2</v>
      </c>
      <c r="AB216">
        <f t="shared" si="121"/>
        <v>815.75635276941682</v>
      </c>
      <c r="AC216">
        <f t="shared" si="122"/>
        <v>710.93971726021618</v>
      </c>
      <c r="AD216">
        <f t="shared" si="123"/>
        <v>420.00000000000006</v>
      </c>
      <c r="AE216">
        <f t="shared" si="124"/>
        <v>420.00000000000006</v>
      </c>
      <c r="AF216">
        <f t="shared" si="101"/>
        <v>0.72459677419354873</v>
      </c>
      <c r="AG216">
        <f t="shared" si="102"/>
        <v>0.72459677419354873</v>
      </c>
      <c r="AH216">
        <f t="shared" si="125"/>
        <v>0.41839943788460232</v>
      </c>
      <c r="AI216">
        <f t="shared" si="126"/>
        <v>-0.87483675641335146</v>
      </c>
    </row>
    <row r="217" spans="1:35" x14ac:dyDescent="0.25">
      <c r="A217" t="s">
        <v>550</v>
      </c>
      <c r="B217" s="3">
        <f>IF(palocation+salocation+talocation&lt;0.95,palocation+salocation+talocation,0)</f>
        <v>0.82110869565217393</v>
      </c>
      <c r="F217">
        <v>0.82000000000000095</v>
      </c>
      <c r="G217">
        <f t="shared" si="80"/>
        <v>17.300000000000015</v>
      </c>
      <c r="H217">
        <f t="shared" si="106"/>
        <v>0.44419753086419811</v>
      </c>
      <c r="I217">
        <f t="shared" si="107"/>
        <v>2</v>
      </c>
      <c r="J217">
        <f t="shared" si="108"/>
        <v>0.69364161849710937</v>
      </c>
      <c r="K217">
        <f t="shared" si="83"/>
        <v>0.22372446110590458</v>
      </c>
      <c r="L217">
        <f t="shared" si="109"/>
        <v>1.52</v>
      </c>
      <c r="M217">
        <f t="shared" si="110"/>
        <v>0.4006473988439303</v>
      </c>
      <c r="O217">
        <f t="shared" si="85"/>
        <v>17.300000000000015</v>
      </c>
      <c r="P217">
        <f t="shared" si="111"/>
        <v>12.975000000000012</v>
      </c>
      <c r="Q217">
        <f t="shared" si="87"/>
        <v>1.3719599999999998E-2</v>
      </c>
      <c r="R217">
        <f t="shared" si="88"/>
        <v>3.1023599999999995E-2</v>
      </c>
      <c r="S217">
        <f t="shared" si="112"/>
        <v>-6.9181124689867673E-2</v>
      </c>
      <c r="T217">
        <f t="shared" si="113"/>
        <v>-0.14327456673086547</v>
      </c>
      <c r="U217">
        <f t="shared" si="114"/>
        <v>0.4494606024313671</v>
      </c>
      <c r="V217">
        <f t="shared" si="115"/>
        <v>0.2169873750366389</v>
      </c>
      <c r="W217">
        <f t="shared" si="116"/>
        <v>137.11296495556886</v>
      </c>
      <c r="X217">
        <f t="shared" si="117"/>
        <v>403.86886051112361</v>
      </c>
      <c r="Y217">
        <f t="shared" si="118"/>
        <v>0.85146461538461538</v>
      </c>
      <c r="Z217">
        <f t="shared" si="119"/>
        <v>0.77089864615384673</v>
      </c>
      <c r="AA217">
        <f t="shared" si="120"/>
        <v>4.4560615384615379E-2</v>
      </c>
      <c r="AB217">
        <f t="shared" si="121"/>
        <v>816.20881122009916</v>
      </c>
      <c r="AC217">
        <f t="shared" si="122"/>
        <v>712.55064796769329</v>
      </c>
      <c r="AD217">
        <f t="shared" si="123"/>
        <v>420.00000000000006</v>
      </c>
      <c r="AE217">
        <f t="shared" si="124"/>
        <v>420.00000000000006</v>
      </c>
      <c r="AF217">
        <f t="shared" si="101"/>
        <v>0.72822580645161328</v>
      </c>
      <c r="AG217">
        <f t="shared" si="102"/>
        <v>0.72822580645161328</v>
      </c>
      <c r="AH217">
        <f t="shared" si="125"/>
        <v>0.41977610467762028</v>
      </c>
      <c r="AI217">
        <f t="shared" si="126"/>
        <v>-0.88191555113868758</v>
      </c>
    </row>
    <row r="218" spans="1:35" x14ac:dyDescent="0.25">
      <c r="A218" t="s">
        <v>557</v>
      </c>
      <c r="B218">
        <f>1/(IF(CSOption="Rsense",RSCh*10^-3,Rburden/NCT)*Nch*Kfb)</f>
        <v>0.32710225430843876</v>
      </c>
      <c r="F218">
        <v>0.83000000000000096</v>
      </c>
      <c r="G218">
        <f t="shared" si="80"/>
        <v>17.450000000000014</v>
      </c>
      <c r="H218">
        <f t="shared" si="106"/>
        <v>0.44975308641975353</v>
      </c>
      <c r="I218">
        <f t="shared" si="107"/>
        <v>2</v>
      </c>
      <c r="J218">
        <f t="shared" si="108"/>
        <v>0.6876790830945555</v>
      </c>
      <c r="K218">
        <f t="shared" si="83"/>
        <v>0.22551686972821008</v>
      </c>
      <c r="L218">
        <f t="shared" si="109"/>
        <v>1.52</v>
      </c>
      <c r="M218">
        <f t="shared" si="110"/>
        <v>0.39720343839541516</v>
      </c>
      <c r="O218">
        <f t="shared" si="85"/>
        <v>17.450000000000014</v>
      </c>
      <c r="P218">
        <f t="shared" si="111"/>
        <v>13.087500000000009</v>
      </c>
      <c r="Q218">
        <f t="shared" si="87"/>
        <v>1.3719599999999998E-2</v>
      </c>
      <c r="R218">
        <f t="shared" si="88"/>
        <v>3.1023599999999995E-2</v>
      </c>
      <c r="S218">
        <f t="shared" si="112"/>
        <v>-6.9450569134312107E-2</v>
      </c>
      <c r="T218">
        <f t="shared" si="113"/>
        <v>-0.1435440111753099</v>
      </c>
      <c r="U218">
        <f t="shared" si="114"/>
        <v>0.45159753115966295</v>
      </c>
      <c r="V218">
        <f t="shared" si="115"/>
        <v>0.21845732532437875</v>
      </c>
      <c r="W218">
        <f t="shared" si="116"/>
        <v>137.11270887224379</v>
      </c>
      <c r="X218">
        <f t="shared" si="117"/>
        <v>403.86877353942833</v>
      </c>
      <c r="Y218">
        <f t="shared" si="118"/>
        <v>0.85151999999999994</v>
      </c>
      <c r="Z218">
        <f t="shared" si="119"/>
        <v>0.77729280000000089</v>
      </c>
      <c r="AA218">
        <f t="shared" si="120"/>
        <v>4.4544000000000014E-2</v>
      </c>
      <c r="AB218">
        <f t="shared" si="121"/>
        <v>816.63959631551461</v>
      </c>
      <c r="AC218">
        <f t="shared" si="122"/>
        <v>714.13876596918669</v>
      </c>
      <c r="AD218">
        <f t="shared" si="123"/>
        <v>420.00000000000006</v>
      </c>
      <c r="AE218">
        <f t="shared" si="124"/>
        <v>420.00000000000006</v>
      </c>
      <c r="AF218">
        <f t="shared" si="101"/>
        <v>0.73185483870967771</v>
      </c>
      <c r="AG218">
        <f t="shared" si="102"/>
        <v>0.73185483870967771</v>
      </c>
      <c r="AH218">
        <f t="shared" si="125"/>
        <v>0.42121155240476876</v>
      </c>
      <c r="AI218">
        <f t="shared" si="126"/>
        <v>-0.88887118702915713</v>
      </c>
    </row>
    <row r="219" spans="1:35" x14ac:dyDescent="0.25">
      <c r="A219" t="s">
        <v>639</v>
      </c>
      <c r="B219">
        <f>Pout/EffFL/(VinMin*PowerFactor)</f>
        <v>0.54912712995371071</v>
      </c>
      <c r="F219">
        <v>0.84000000000000097</v>
      </c>
      <c r="G219">
        <f t="shared" si="80"/>
        <v>17.600000000000016</v>
      </c>
      <c r="H219">
        <f t="shared" si="106"/>
        <v>0.45530864197530918</v>
      </c>
      <c r="I219">
        <f t="shared" si="107"/>
        <v>2</v>
      </c>
      <c r="J219">
        <f t="shared" si="108"/>
        <v>0.68181818181818132</v>
      </c>
      <c r="K219">
        <f t="shared" si="83"/>
        <v>0.22730927835051565</v>
      </c>
      <c r="L219">
        <f t="shared" si="109"/>
        <v>1.52</v>
      </c>
      <c r="M219">
        <f t="shared" si="110"/>
        <v>0.39381818181818151</v>
      </c>
      <c r="O219">
        <f t="shared" si="85"/>
        <v>17.600000000000016</v>
      </c>
      <c r="P219">
        <f t="shared" si="111"/>
        <v>13.200000000000012</v>
      </c>
      <c r="Q219">
        <f t="shared" si="87"/>
        <v>1.3719599999999998E-2</v>
      </c>
      <c r="R219">
        <f t="shared" si="88"/>
        <v>3.1023599999999995E-2</v>
      </c>
      <c r="S219">
        <f t="shared" si="112"/>
        <v>-6.9720013578756554E-2</v>
      </c>
      <c r="T219">
        <f t="shared" si="113"/>
        <v>-0.14381345561975434</v>
      </c>
      <c r="U219">
        <f t="shared" si="114"/>
        <v>0.45371794286380879</v>
      </c>
      <c r="V219">
        <f t="shared" si="115"/>
        <v>0.21992176750528775</v>
      </c>
      <c r="W219">
        <f t="shared" si="116"/>
        <v>137.11245278891877</v>
      </c>
      <c r="X219">
        <f t="shared" si="117"/>
        <v>403.86868656773305</v>
      </c>
      <c r="Y219">
        <f t="shared" si="118"/>
        <v>0.85157538461538462</v>
      </c>
      <c r="Z219">
        <f t="shared" si="119"/>
        <v>0.78368196923076994</v>
      </c>
      <c r="AA219">
        <f t="shared" si="120"/>
        <v>4.4527384615384615E-2</v>
      </c>
      <c r="AB219">
        <f t="shared" si="121"/>
        <v>817.04920741355136</v>
      </c>
      <c r="AC219">
        <f t="shared" si="122"/>
        <v>715.70449077817409</v>
      </c>
      <c r="AD219">
        <f t="shared" si="123"/>
        <v>420.00000000000006</v>
      </c>
      <c r="AE219">
        <f t="shared" si="124"/>
        <v>420.00000000000006</v>
      </c>
      <c r="AF219">
        <f t="shared" si="101"/>
        <v>0.73548387096774226</v>
      </c>
      <c r="AG219">
        <f t="shared" si="102"/>
        <v>0.73548387096774226</v>
      </c>
      <c r="AH219">
        <f t="shared" si="125"/>
        <v>0.42270429732007631</v>
      </c>
      <c r="AI219">
        <f t="shared" si="126"/>
        <v>-0.8957048981768061</v>
      </c>
    </row>
    <row r="220" spans="1:35" x14ac:dyDescent="0.25">
      <c r="A220" t="s">
        <v>640</v>
      </c>
      <c r="B220">
        <f>SQRT(2)*IinRMSMax</f>
        <v>0.77658303464755074</v>
      </c>
      <c r="F220">
        <v>0.85000000000000098</v>
      </c>
      <c r="G220">
        <f t="shared" si="80"/>
        <v>17.750000000000014</v>
      </c>
      <c r="H220">
        <f t="shared" si="106"/>
        <v>0.46086419753086472</v>
      </c>
      <c r="I220">
        <f t="shared" si="107"/>
        <v>2.16</v>
      </c>
      <c r="J220">
        <f t="shared" si="108"/>
        <v>0.78855211267605596</v>
      </c>
      <c r="K220">
        <f t="shared" si="83"/>
        <v>0.22910168697282116</v>
      </c>
      <c r="L220">
        <f t="shared" si="109"/>
        <v>1.52</v>
      </c>
      <c r="M220">
        <f t="shared" si="110"/>
        <v>0.39049014084507011</v>
      </c>
      <c r="O220">
        <f t="shared" si="85"/>
        <v>17.750000000000014</v>
      </c>
      <c r="P220">
        <f t="shared" si="111"/>
        <v>13.312500000000011</v>
      </c>
      <c r="Q220">
        <f t="shared" si="87"/>
        <v>1.3719599999999998E-2</v>
      </c>
      <c r="R220">
        <f t="shared" si="88"/>
        <v>3.1023599999999995E-2</v>
      </c>
      <c r="S220">
        <f t="shared" si="112"/>
        <v>-6.9989458023201001E-2</v>
      </c>
      <c r="T220">
        <f t="shared" si="113"/>
        <v>-0.14408290006419877</v>
      </c>
      <c r="U220">
        <f t="shared" si="114"/>
        <v>0.45582202830483565</v>
      </c>
      <c r="V220">
        <f t="shared" si="115"/>
        <v>0.22138073248092557</v>
      </c>
      <c r="W220">
        <f t="shared" si="116"/>
        <v>137.11219670559376</v>
      </c>
      <c r="X220">
        <f t="shared" si="117"/>
        <v>403.86859959603771</v>
      </c>
      <c r="Y220">
        <f t="shared" si="118"/>
        <v>0.85163076923076919</v>
      </c>
      <c r="Z220">
        <f t="shared" si="119"/>
        <v>0.79006615384615464</v>
      </c>
      <c r="AA220">
        <f t="shared" si="120"/>
        <v>4.4510769230769243E-2</v>
      </c>
      <c r="AB220">
        <f t="shared" si="121"/>
        <v>817.43813019145944</v>
      </c>
      <c r="AC220">
        <f t="shared" si="122"/>
        <v>717.24823174244455</v>
      </c>
      <c r="AD220">
        <f t="shared" si="123"/>
        <v>420.00000000000006</v>
      </c>
      <c r="AE220">
        <f t="shared" si="124"/>
        <v>420.00000000000006</v>
      </c>
      <c r="AF220">
        <f t="shared" si="101"/>
        <v>0.73911290322580681</v>
      </c>
      <c r="AG220">
        <f t="shared" si="102"/>
        <v>0.73911290322580681</v>
      </c>
      <c r="AH220">
        <f t="shared" si="125"/>
        <v>0.42425289083224105</v>
      </c>
      <c r="AI220">
        <f t="shared" si="126"/>
        <v>-0.90241790539673217</v>
      </c>
    </row>
    <row r="221" spans="1:35" x14ac:dyDescent="0.25">
      <c r="A221" t="s">
        <v>641</v>
      </c>
      <c r="B221">
        <f>2*IinPeakMax/PI()</f>
        <v>0.49438811474184929</v>
      </c>
      <c r="F221">
        <v>0.86000000000000099</v>
      </c>
      <c r="G221">
        <f t="shared" si="80"/>
        <v>17.900000000000013</v>
      </c>
      <c r="H221">
        <f t="shared" si="106"/>
        <v>0.46641975308642025</v>
      </c>
      <c r="I221">
        <f t="shared" si="107"/>
        <v>2.16</v>
      </c>
      <c r="J221">
        <f t="shared" si="108"/>
        <v>0.78194413407821195</v>
      </c>
      <c r="K221">
        <f t="shared" si="83"/>
        <v>0.23089409559512666</v>
      </c>
      <c r="L221">
        <f t="shared" si="109"/>
        <v>1.52</v>
      </c>
      <c r="M221">
        <f t="shared" si="110"/>
        <v>0.3872178770949718</v>
      </c>
      <c r="O221">
        <f t="shared" si="85"/>
        <v>17.900000000000013</v>
      </c>
      <c r="P221">
        <f t="shared" si="111"/>
        <v>13.42500000000001</v>
      </c>
      <c r="Q221">
        <f t="shared" si="87"/>
        <v>1.3719599999999998E-2</v>
      </c>
      <c r="R221">
        <f t="shared" si="88"/>
        <v>3.1023599999999995E-2</v>
      </c>
      <c r="S221">
        <f t="shared" si="112"/>
        <v>-7.0258902467645448E-2</v>
      </c>
      <c r="T221">
        <f t="shared" si="113"/>
        <v>-0.14435234450864323</v>
      </c>
      <c r="U221">
        <f t="shared" si="114"/>
        <v>0.45790997531748379</v>
      </c>
      <c r="V221">
        <f t="shared" si="115"/>
        <v>0.22283425092213174</v>
      </c>
      <c r="W221">
        <f t="shared" si="116"/>
        <v>137.11194062226875</v>
      </c>
      <c r="X221">
        <f t="shared" si="117"/>
        <v>403.86851262434249</v>
      </c>
      <c r="Y221">
        <f t="shared" si="118"/>
        <v>0.85168615384615387</v>
      </c>
      <c r="Z221">
        <f t="shared" si="119"/>
        <v>0.79644535384615422</v>
      </c>
      <c r="AA221">
        <f t="shared" si="120"/>
        <v>4.4494153846153836E-2</v>
      </c>
      <c r="AB221">
        <f t="shared" si="121"/>
        <v>817.80683710229357</v>
      </c>
      <c r="AC221">
        <f t="shared" si="122"/>
        <v>718.77038835008557</v>
      </c>
      <c r="AD221">
        <f t="shared" si="123"/>
        <v>420.00000000000006</v>
      </c>
      <c r="AE221">
        <f t="shared" si="124"/>
        <v>420.00000000000006</v>
      </c>
      <c r="AF221">
        <f t="shared" si="101"/>
        <v>0.74274193548387124</v>
      </c>
      <c r="AG221">
        <f t="shared" si="102"/>
        <v>0.74274193548387124</v>
      </c>
      <c r="AH221">
        <f t="shared" si="125"/>
        <v>0.42585591859547095</v>
      </c>
      <c r="AI221">
        <f t="shared" si="126"/>
        <v>-0.90901141638868532</v>
      </c>
    </row>
    <row r="222" spans="1:35" x14ac:dyDescent="0.25">
      <c r="A222" t="s">
        <v>652</v>
      </c>
      <c r="B222">
        <f>1/(4*IF(VinMinAC&lt;180,60,50))+ASIN((VinMin-VinRip)/VinMin)/(2*PI()*IF(VinMinAC&lt;180,60,50))</f>
        <v>6.3180562470936605E-3</v>
      </c>
      <c r="F222">
        <v>0.87000000000000099</v>
      </c>
      <c r="G222">
        <f t="shared" si="80"/>
        <v>18.050000000000015</v>
      </c>
      <c r="H222">
        <f t="shared" si="106"/>
        <v>0.4719753086419759</v>
      </c>
      <c r="I222">
        <f t="shared" si="107"/>
        <v>2.16</v>
      </c>
      <c r="J222">
        <f t="shared" si="108"/>
        <v>0.77544598337950099</v>
      </c>
      <c r="K222">
        <f t="shared" si="83"/>
        <v>0.23268650421743223</v>
      </c>
      <c r="L222">
        <f t="shared" si="109"/>
        <v>1.52</v>
      </c>
      <c r="M222">
        <f t="shared" si="110"/>
        <v>0.38399999999999973</v>
      </c>
      <c r="O222">
        <f t="shared" si="85"/>
        <v>18.050000000000015</v>
      </c>
      <c r="P222">
        <f t="shared" si="111"/>
        <v>13.537500000000012</v>
      </c>
      <c r="Q222">
        <f t="shared" si="87"/>
        <v>1.3719599999999998E-2</v>
      </c>
      <c r="R222">
        <f t="shared" si="88"/>
        <v>3.1023599999999995E-2</v>
      </c>
      <c r="S222">
        <f t="shared" si="112"/>
        <v>-7.0528346912089895E-2</v>
      </c>
      <c r="T222">
        <f t="shared" si="113"/>
        <v>-0.14462178895308769</v>
      </c>
      <c r="U222">
        <f t="shared" si="114"/>
        <v>0.45998196886609993</v>
      </c>
      <c r="V222">
        <f t="shared" si="115"/>
        <v>0.22428235327117488</v>
      </c>
      <c r="W222">
        <f t="shared" si="116"/>
        <v>137.11168453894368</v>
      </c>
      <c r="X222">
        <f t="shared" si="117"/>
        <v>403.8684256526472</v>
      </c>
      <c r="Y222">
        <f t="shared" si="118"/>
        <v>0.85174153846153844</v>
      </c>
      <c r="Z222">
        <f t="shared" si="119"/>
        <v>0.80281956923077002</v>
      </c>
      <c r="AA222">
        <f t="shared" si="120"/>
        <v>4.4477538461538471E-2</v>
      </c>
      <c r="AB222">
        <f t="shared" si="121"/>
        <v>818.15578781327451</v>
      </c>
      <c r="AC222">
        <f t="shared" si="122"/>
        <v>720.27135052448716</v>
      </c>
      <c r="AD222">
        <f t="shared" si="123"/>
        <v>420.00000000000006</v>
      </c>
      <c r="AE222">
        <f t="shared" si="124"/>
        <v>420.00000000000006</v>
      </c>
      <c r="AF222">
        <f t="shared" si="101"/>
        <v>0.7463709677419359</v>
      </c>
      <c r="AG222">
        <f t="shared" si="102"/>
        <v>0.7463709677419359</v>
      </c>
      <c r="AH222">
        <f t="shared" si="125"/>
        <v>0.42751199962652781</v>
      </c>
      <c r="AI222">
        <f t="shared" si="126"/>
        <v>-0.9154866258964367</v>
      </c>
    </row>
    <row r="223" spans="1:35" x14ac:dyDescent="0.25">
      <c r="A223" t="s">
        <v>651</v>
      </c>
      <c r="B223">
        <f>IinRMSMax/(Tconduct*IF(VinMinAC&lt;180,60,50))</f>
        <v>1.4485655832475168</v>
      </c>
      <c r="F223">
        <v>0.880000000000001</v>
      </c>
      <c r="G223">
        <f t="shared" si="80"/>
        <v>18.200000000000017</v>
      </c>
      <c r="H223">
        <f t="shared" si="106"/>
        <v>0.47753086419753155</v>
      </c>
      <c r="I223">
        <f t="shared" si="107"/>
        <v>2.16</v>
      </c>
      <c r="J223">
        <f t="shared" si="108"/>
        <v>0.76905494505494454</v>
      </c>
      <c r="K223">
        <f t="shared" si="83"/>
        <v>0.23447891283973779</v>
      </c>
      <c r="L223">
        <f t="shared" si="109"/>
        <v>1.52</v>
      </c>
      <c r="M223">
        <f t="shared" si="110"/>
        <v>0.3808351648351645</v>
      </c>
      <c r="O223">
        <f t="shared" si="85"/>
        <v>18.200000000000017</v>
      </c>
      <c r="P223">
        <f t="shared" si="111"/>
        <v>13.650000000000013</v>
      </c>
      <c r="Q223">
        <f t="shared" si="87"/>
        <v>1.3719599999999998E-2</v>
      </c>
      <c r="R223">
        <f t="shared" si="88"/>
        <v>3.1023599999999995E-2</v>
      </c>
      <c r="S223">
        <f t="shared" si="112"/>
        <v>-7.0797791356534343E-2</v>
      </c>
      <c r="T223">
        <f t="shared" si="113"/>
        <v>-0.14489123339753213</v>
      </c>
      <c r="U223">
        <f t="shared" si="114"/>
        <v>0.46203819109925826</v>
      </c>
      <c r="V223">
        <f t="shared" si="115"/>
        <v>0.22572506974387774</v>
      </c>
      <c r="W223">
        <f t="shared" si="116"/>
        <v>137.11142845561869</v>
      </c>
      <c r="X223">
        <f t="shared" si="117"/>
        <v>403.86833868095192</v>
      </c>
      <c r="Y223">
        <f t="shared" si="118"/>
        <v>0.85179692307692312</v>
      </c>
      <c r="Z223">
        <f t="shared" si="119"/>
        <v>0.8091888000000006</v>
      </c>
      <c r="AA223">
        <f t="shared" si="120"/>
        <v>4.4460923076923071E-2</v>
      </c>
      <c r="AB223">
        <f t="shared" si="121"/>
        <v>818.48542962689066</v>
      </c>
      <c r="AC223">
        <f t="shared" si="122"/>
        <v>721.75149890881437</v>
      </c>
      <c r="AD223">
        <f t="shared" si="123"/>
        <v>420.00000000000006</v>
      </c>
      <c r="AE223">
        <f t="shared" si="124"/>
        <v>420.00000000000006</v>
      </c>
      <c r="AF223">
        <f t="shared" si="101"/>
        <v>0.75000000000000033</v>
      </c>
      <c r="AG223">
        <f t="shared" si="102"/>
        <v>0.75000000000000033</v>
      </c>
      <c r="AH223">
        <f t="shared" si="125"/>
        <v>0.42921978544713807</v>
      </c>
      <c r="AI223">
        <f t="shared" si="126"/>
        <v>-0.92184471586496042</v>
      </c>
    </row>
    <row r="224" spans="1:35" x14ac:dyDescent="0.25">
      <c r="A224" t="s">
        <v>650</v>
      </c>
      <c r="B224">
        <f>IdPeak*SQRT(Tconduct*IF(VinMin&lt;180,60,50)/3)</f>
        <v>0.51492609867126626</v>
      </c>
      <c r="F224">
        <v>0.89000000000000101</v>
      </c>
      <c r="G224">
        <f t="shared" si="80"/>
        <v>18.350000000000016</v>
      </c>
      <c r="H224">
        <f t="shared" si="106"/>
        <v>0.48308641975308697</v>
      </c>
      <c r="I224">
        <f t="shared" si="107"/>
        <v>2.16</v>
      </c>
      <c r="J224">
        <f t="shared" si="108"/>
        <v>0.76276839237057181</v>
      </c>
      <c r="K224">
        <f t="shared" si="83"/>
        <v>0.2362713214620433</v>
      </c>
      <c r="L224">
        <f t="shared" si="109"/>
        <v>1.52</v>
      </c>
      <c r="M224">
        <f t="shared" si="110"/>
        <v>0.37772207084468634</v>
      </c>
      <c r="O224">
        <f t="shared" si="85"/>
        <v>18.350000000000016</v>
      </c>
      <c r="P224">
        <f t="shared" si="111"/>
        <v>13.762500000000012</v>
      </c>
      <c r="Q224">
        <f t="shared" si="87"/>
        <v>1.3719599999999998E-2</v>
      </c>
      <c r="R224">
        <f t="shared" si="88"/>
        <v>3.1023599999999995E-2</v>
      </c>
      <c r="S224">
        <f t="shared" si="112"/>
        <v>-7.1067235800978776E-2</v>
      </c>
      <c r="T224">
        <f t="shared" si="113"/>
        <v>-0.14516067784197656</v>
      </c>
      <c r="U224">
        <f t="shared" si="114"/>
        <v>0.46407882140313933</v>
      </c>
      <c r="V224">
        <f t="shared" si="115"/>
        <v>0.2271624303317189</v>
      </c>
      <c r="W224">
        <f t="shared" si="116"/>
        <v>137.11117237229365</v>
      </c>
      <c r="X224">
        <f t="shared" si="117"/>
        <v>403.86825170925664</v>
      </c>
      <c r="Y224">
        <f t="shared" si="118"/>
        <v>0.85185230769230769</v>
      </c>
      <c r="Z224">
        <f t="shared" si="119"/>
        <v>0.81555304615384683</v>
      </c>
      <c r="AA224">
        <f t="shared" si="120"/>
        <v>4.4444307692307693E-2</v>
      </c>
      <c r="AB224">
        <f t="shared" si="121"/>
        <v>818.79619788553543</v>
      </c>
      <c r="AC224">
        <f t="shared" si="122"/>
        <v>723.21120514038807</v>
      </c>
      <c r="AD224">
        <f t="shared" si="123"/>
        <v>420.00000000000006</v>
      </c>
      <c r="AE224">
        <f t="shared" si="124"/>
        <v>420.00000000000006</v>
      </c>
      <c r="AF224">
        <f t="shared" si="101"/>
        <v>0.75362903225806488</v>
      </c>
      <c r="AG224">
        <f t="shared" si="102"/>
        <v>0.75362903225806488</v>
      </c>
      <c r="AH224">
        <f t="shared" si="125"/>
        <v>0.43097795925096011</v>
      </c>
      <c r="AI224">
        <f t="shared" si="126"/>
        <v>-0.92808685559545123</v>
      </c>
    </row>
    <row r="225" spans="1:35" x14ac:dyDescent="0.25">
      <c r="A225" t="s">
        <v>653</v>
      </c>
      <c r="B225" s="97">
        <f>2*VfBridge*RMSTot</f>
        <v>0.97835958747540586</v>
      </c>
      <c r="F225">
        <v>0.90000000000000102</v>
      </c>
      <c r="G225">
        <f t="shared" si="80"/>
        <v>18.500000000000014</v>
      </c>
      <c r="H225">
        <f t="shared" si="106"/>
        <v>0.48864197530864251</v>
      </c>
      <c r="I225">
        <f t="shared" si="107"/>
        <v>2.16</v>
      </c>
      <c r="J225">
        <f t="shared" si="108"/>
        <v>0.75658378378378344</v>
      </c>
      <c r="K225">
        <f t="shared" si="83"/>
        <v>0.23806373008434881</v>
      </c>
      <c r="L225">
        <f t="shared" si="109"/>
        <v>1.52</v>
      </c>
      <c r="M225">
        <f t="shared" si="110"/>
        <v>0.37465945945945922</v>
      </c>
      <c r="O225">
        <f t="shared" si="85"/>
        <v>18.500000000000014</v>
      </c>
      <c r="P225">
        <f t="shared" si="111"/>
        <v>13.875000000000011</v>
      </c>
      <c r="Q225">
        <f t="shared" si="87"/>
        <v>1.3719599999999998E-2</v>
      </c>
      <c r="R225">
        <f t="shared" si="88"/>
        <v>3.1023599999999995E-2</v>
      </c>
      <c r="S225">
        <f t="shared" si="112"/>
        <v>-7.1336680245423223E-2</v>
      </c>
      <c r="T225">
        <f t="shared" si="113"/>
        <v>-0.14543012228642102</v>
      </c>
      <c r="U225">
        <f t="shared" si="114"/>
        <v>0.46610403645369897</v>
      </c>
      <c r="V225">
        <f t="shared" si="115"/>
        <v>0.22859446480391132</v>
      </c>
      <c r="W225">
        <f t="shared" si="116"/>
        <v>137.11091628896864</v>
      </c>
      <c r="X225">
        <f t="shared" si="117"/>
        <v>403.86816473756124</v>
      </c>
      <c r="Y225">
        <f t="shared" si="118"/>
        <v>0.85190769230769225</v>
      </c>
      <c r="Z225">
        <f t="shared" si="119"/>
        <v>0.82191230769230861</v>
      </c>
      <c r="AA225">
        <f t="shared" si="120"/>
        <v>4.4427692307692321E-2</v>
      </c>
      <c r="AB225">
        <f t="shared" si="121"/>
        <v>819.08851636041629</v>
      </c>
      <c r="AC225">
        <f t="shared" si="122"/>
        <v>724.6508321153882</v>
      </c>
      <c r="AD225">
        <f t="shared" si="123"/>
        <v>420.00000000000006</v>
      </c>
      <c r="AE225">
        <f t="shared" si="124"/>
        <v>420.00000000000006</v>
      </c>
      <c r="AF225">
        <f t="shared" si="101"/>
        <v>0.75725806451612943</v>
      </c>
      <c r="AG225">
        <f t="shared" si="102"/>
        <v>0.75725806451612943</v>
      </c>
      <c r="AH225">
        <f t="shared" si="125"/>
        <v>0.43278523509432598</v>
      </c>
      <c r="AI225">
        <f t="shared" si="126"/>
        <v>-0.9342142018982218</v>
      </c>
    </row>
    <row r="226" spans="1:35" x14ac:dyDescent="0.25">
      <c r="A226" t="s">
        <v>654</v>
      </c>
      <c r="B226" s="98">
        <f>(Pbridge*RthJCBridge)/NBridge+25</f>
        <v>54.350787624262175</v>
      </c>
      <c r="F226">
        <v>0.91000000000000103</v>
      </c>
      <c r="G226">
        <f t="shared" si="80"/>
        <v>18.650000000000016</v>
      </c>
      <c r="H226">
        <f t="shared" si="106"/>
        <v>0.49419753086419804</v>
      </c>
      <c r="I226">
        <f t="shared" si="107"/>
        <v>2.16</v>
      </c>
      <c r="J226">
        <f t="shared" si="108"/>
        <v>0.75049865951742578</v>
      </c>
      <c r="K226">
        <f t="shared" si="83"/>
        <v>0.23985613870665437</v>
      </c>
      <c r="L226">
        <f t="shared" si="109"/>
        <v>1.52</v>
      </c>
      <c r="M226">
        <f t="shared" si="110"/>
        <v>0.37164611260053587</v>
      </c>
      <c r="O226">
        <f t="shared" si="85"/>
        <v>18.650000000000016</v>
      </c>
      <c r="P226">
        <f t="shared" si="111"/>
        <v>13.987500000000011</v>
      </c>
      <c r="Q226">
        <f t="shared" si="87"/>
        <v>1.3719599999999998E-2</v>
      </c>
      <c r="R226">
        <f t="shared" si="88"/>
        <v>3.1023599999999995E-2</v>
      </c>
      <c r="S226">
        <f t="shared" si="112"/>
        <v>-7.160612468986767E-2</v>
      </c>
      <c r="T226">
        <f t="shared" si="113"/>
        <v>-0.14569956673086545</v>
      </c>
      <c r="U226">
        <f t="shared" si="114"/>
        <v>0.46811401026765936</v>
      </c>
      <c r="V226">
        <f t="shared" si="115"/>
        <v>0.23002120270945711</v>
      </c>
      <c r="W226">
        <f t="shared" si="116"/>
        <v>137.11066020564363</v>
      </c>
      <c r="X226">
        <f t="shared" si="117"/>
        <v>403.86807776586596</v>
      </c>
      <c r="Y226">
        <f t="shared" si="118"/>
        <v>0.85196307692307693</v>
      </c>
      <c r="Z226">
        <f t="shared" si="119"/>
        <v>0.82826658461538527</v>
      </c>
      <c r="AA226">
        <f t="shared" si="120"/>
        <v>4.4411076923076921E-2</v>
      </c>
      <c r="AB226">
        <f t="shared" si="121"/>
        <v>819.36279762545223</v>
      </c>
      <c r="AC226">
        <f t="shared" si="122"/>
        <v>726.07073424427642</v>
      </c>
      <c r="AD226">
        <f t="shared" si="123"/>
        <v>420.00000000000006</v>
      </c>
      <c r="AE226">
        <f t="shared" si="124"/>
        <v>420.00000000000006</v>
      </c>
      <c r="AF226">
        <f t="shared" si="101"/>
        <v>0.76088709677419397</v>
      </c>
      <c r="AG226">
        <f t="shared" si="102"/>
        <v>0.76088709677419397</v>
      </c>
      <c r="AH226">
        <f t="shared" si="125"/>
        <v>0.43464035711000254</v>
      </c>
      <c r="AI226">
        <f t="shared" si="126"/>
        <v>-0.94022789924350847</v>
      </c>
    </row>
    <row r="227" spans="1:35" x14ac:dyDescent="0.25">
      <c r="A227" t="s">
        <v>667</v>
      </c>
      <c r="B227">
        <f>IF(HVRes1+HVRes2&gt;3,0,3)</f>
        <v>3</v>
      </c>
      <c r="C227" t="s">
        <v>40</v>
      </c>
      <c r="F227">
        <v>0.92000000000000104</v>
      </c>
      <c r="G227">
        <f t="shared" si="80"/>
        <v>18.800000000000015</v>
      </c>
      <c r="H227">
        <f t="shared" si="106"/>
        <v>0.49975308641975369</v>
      </c>
      <c r="I227">
        <f t="shared" si="107"/>
        <v>2.16</v>
      </c>
      <c r="J227">
        <f t="shared" si="108"/>
        <v>0.74451063829787201</v>
      </c>
      <c r="K227">
        <f t="shared" si="83"/>
        <v>0.24164854732895988</v>
      </c>
      <c r="L227">
        <f t="shared" si="109"/>
        <v>1.52</v>
      </c>
      <c r="M227">
        <f t="shared" si="110"/>
        <v>0.36868085106382953</v>
      </c>
      <c r="O227">
        <f t="shared" si="85"/>
        <v>18.800000000000015</v>
      </c>
      <c r="P227">
        <f t="shared" si="111"/>
        <v>14.100000000000012</v>
      </c>
      <c r="Q227">
        <f t="shared" si="87"/>
        <v>1.3719599999999998E-2</v>
      </c>
      <c r="R227">
        <f t="shared" si="88"/>
        <v>3.1023599999999995E-2</v>
      </c>
      <c r="S227">
        <f t="shared" si="112"/>
        <v>-7.1875569134312117E-2</v>
      </c>
      <c r="T227">
        <f t="shared" si="113"/>
        <v>-0.14596901117530992</v>
      </c>
      <c r="U227">
        <f t="shared" si="114"/>
        <v>0.47010891425235307</v>
      </c>
      <c r="V227">
        <f t="shared" si="115"/>
        <v>0.23144267337918031</v>
      </c>
      <c r="W227">
        <f t="shared" si="116"/>
        <v>137.11040412231856</v>
      </c>
      <c r="X227">
        <f t="shared" si="117"/>
        <v>403.86799079417079</v>
      </c>
      <c r="Y227">
        <f t="shared" si="118"/>
        <v>0.8520184615384615</v>
      </c>
      <c r="Z227">
        <f t="shared" si="119"/>
        <v>0.8346158769230777</v>
      </c>
      <c r="AA227">
        <f t="shared" si="120"/>
        <v>4.4394461538461542E-2</v>
      </c>
      <c r="AB227">
        <f t="shared" si="121"/>
        <v>819.61944341682693</v>
      </c>
      <c r="AC227">
        <f t="shared" si="122"/>
        <v>727.47125769831109</v>
      </c>
      <c r="AD227">
        <f t="shared" si="123"/>
        <v>420.00000000000006</v>
      </c>
      <c r="AE227">
        <f t="shared" si="124"/>
        <v>420.00000000000006</v>
      </c>
      <c r="AF227">
        <f t="shared" si="101"/>
        <v>0.76451612903225841</v>
      </c>
      <c r="AG227">
        <f t="shared" si="102"/>
        <v>0.76451612903225841</v>
      </c>
      <c r="AH227">
        <f t="shared" si="125"/>
        <v>0.4365420987432444</v>
      </c>
      <c r="AI227">
        <f t="shared" si="126"/>
        <v>-0.94612907991020623</v>
      </c>
    </row>
    <row r="228" spans="1:35" x14ac:dyDescent="0.25">
      <c r="F228">
        <v>0.93000000000000105</v>
      </c>
      <c r="G228">
        <f t="shared" si="80"/>
        <v>18.950000000000017</v>
      </c>
      <c r="H228">
        <f t="shared" si="106"/>
        <v>0.50530864197530923</v>
      </c>
      <c r="I228">
        <f t="shared" si="107"/>
        <v>2.16</v>
      </c>
      <c r="J228">
        <f t="shared" si="108"/>
        <v>0.73861741424802063</v>
      </c>
      <c r="K228">
        <f t="shared" si="83"/>
        <v>0.24344095595126544</v>
      </c>
      <c r="L228">
        <f t="shared" si="109"/>
        <v>1.52</v>
      </c>
      <c r="M228">
        <f t="shared" si="110"/>
        <v>0.36576253298153005</v>
      </c>
      <c r="O228">
        <f t="shared" si="85"/>
        <v>18.950000000000017</v>
      </c>
      <c r="P228">
        <f t="shared" si="111"/>
        <v>14.212500000000013</v>
      </c>
      <c r="Q228">
        <f t="shared" si="87"/>
        <v>1.3719599999999998E-2</v>
      </c>
      <c r="R228">
        <f t="shared" si="88"/>
        <v>3.1023599999999995E-2</v>
      </c>
      <c r="S228">
        <f t="shared" si="112"/>
        <v>-7.2145013578756551E-2</v>
      </c>
      <c r="T228">
        <f t="shared" si="113"/>
        <v>-0.14623845561975435</v>
      </c>
      <c r="U228">
        <f t="shared" si="114"/>
        <v>0.4720889172544504</v>
      </c>
      <c r="V228">
        <f t="shared" si="115"/>
        <v>0.23285890592773661</v>
      </c>
      <c r="W228">
        <f t="shared" si="116"/>
        <v>137.11014803899351</v>
      </c>
      <c r="X228">
        <f t="shared" si="117"/>
        <v>403.86790382247551</v>
      </c>
      <c r="Y228">
        <f t="shared" si="118"/>
        <v>0.85207384615384618</v>
      </c>
      <c r="Z228">
        <f t="shared" si="119"/>
        <v>0.84096018461538524</v>
      </c>
      <c r="AA228">
        <f t="shared" si="120"/>
        <v>4.437784615384615E-2</v>
      </c>
      <c r="AB228">
        <f t="shared" si="121"/>
        <v>819.85884497883262</v>
      </c>
      <c r="AC228">
        <f t="shared" si="122"/>
        <v>728.85274064752468</v>
      </c>
      <c r="AD228">
        <f t="shared" si="123"/>
        <v>420.00000000000006</v>
      </c>
      <c r="AE228">
        <f t="shared" si="124"/>
        <v>420.00000000000006</v>
      </c>
      <c r="AF228">
        <f t="shared" si="101"/>
        <v>0.76814516129032295</v>
      </c>
      <c r="AG228">
        <f t="shared" si="102"/>
        <v>0.76814516129032295</v>
      </c>
      <c r="AH228">
        <f t="shared" si="125"/>
        <v>0.43848926200943356</v>
      </c>
      <c r="AI228">
        <f t="shared" si="126"/>
        <v>-0.95191886413259108</v>
      </c>
    </row>
    <row r="229" spans="1:35" x14ac:dyDescent="0.25">
      <c r="F229">
        <v>0.94000000000000095</v>
      </c>
      <c r="G229">
        <f t="shared" si="80"/>
        <v>19.100000000000016</v>
      </c>
      <c r="H229">
        <f t="shared" si="106"/>
        <v>0.51086419753086476</v>
      </c>
      <c r="I229">
        <f t="shared" si="107"/>
        <v>2.16</v>
      </c>
      <c r="J229">
        <f t="shared" si="108"/>
        <v>0.7328167539267012</v>
      </c>
      <c r="K229">
        <f t="shared" si="83"/>
        <v>0.24523336457357095</v>
      </c>
      <c r="L229">
        <f t="shared" si="109"/>
        <v>1.52</v>
      </c>
      <c r="M229">
        <f t="shared" si="110"/>
        <v>0.36289005235602068</v>
      </c>
      <c r="O229">
        <f t="shared" si="85"/>
        <v>19.100000000000016</v>
      </c>
      <c r="P229">
        <f t="shared" si="111"/>
        <v>14.325000000000012</v>
      </c>
      <c r="Q229">
        <f t="shared" si="87"/>
        <v>1.3719599999999998E-2</v>
      </c>
      <c r="R229">
        <f t="shared" si="88"/>
        <v>3.1023599999999995E-2</v>
      </c>
      <c r="S229">
        <f t="shared" si="112"/>
        <v>-7.2414458023200998E-2</v>
      </c>
      <c r="T229">
        <f t="shared" si="113"/>
        <v>-0.14650790006419878</v>
      </c>
      <c r="U229">
        <f t="shared" si="114"/>
        <v>0.47405418560759882</v>
      </c>
      <c r="V229">
        <f t="shared" si="115"/>
        <v>0.23426992925560131</v>
      </c>
      <c r="W229">
        <f t="shared" si="116"/>
        <v>137.1098919556685</v>
      </c>
      <c r="X229">
        <f t="shared" si="117"/>
        <v>403.86781685078012</v>
      </c>
      <c r="Y229">
        <f t="shared" si="118"/>
        <v>0.85212923076923075</v>
      </c>
      <c r="Z229">
        <f t="shared" si="119"/>
        <v>0.84729950769230855</v>
      </c>
      <c r="AA229">
        <f t="shared" si="120"/>
        <v>4.4361230769230778E-2</v>
      </c>
      <c r="AB229">
        <f t="shared" si="121"/>
        <v>820.08138339661639</v>
      </c>
      <c r="AC229">
        <f t="shared" si="122"/>
        <v>730.21551349049253</v>
      </c>
      <c r="AD229">
        <f t="shared" si="123"/>
        <v>420.00000000000006</v>
      </c>
      <c r="AE229">
        <f t="shared" si="124"/>
        <v>420.00000000000006</v>
      </c>
      <c r="AF229">
        <f t="shared" si="101"/>
        <v>0.7717741935483875</v>
      </c>
      <c r="AG229">
        <f t="shared" si="102"/>
        <v>0.7717741935483875</v>
      </c>
      <c r="AH229">
        <f t="shared" si="125"/>
        <v>0.44048067677263142</v>
      </c>
      <c r="AI229">
        <f t="shared" si="126"/>
        <v>-0.95759836024502631</v>
      </c>
    </row>
    <row r="230" spans="1:35" x14ac:dyDescent="0.25">
      <c r="F230">
        <v>0.95000000000000095</v>
      </c>
      <c r="G230">
        <f t="shared" si="80"/>
        <v>19.250000000000014</v>
      </c>
      <c r="H230">
        <f t="shared" si="106"/>
        <v>0.5164197530864203</v>
      </c>
      <c r="I230">
        <f t="shared" si="107"/>
        <v>2.16</v>
      </c>
      <c r="J230">
        <f t="shared" si="108"/>
        <v>0.72710649350649315</v>
      </c>
      <c r="K230">
        <f t="shared" si="83"/>
        <v>0.24702577319587646</v>
      </c>
      <c r="L230">
        <f t="shared" si="109"/>
        <v>1.52</v>
      </c>
      <c r="M230">
        <f t="shared" si="110"/>
        <v>0.36006233766233742</v>
      </c>
      <c r="O230">
        <f t="shared" si="85"/>
        <v>19.250000000000014</v>
      </c>
      <c r="P230">
        <f t="shared" si="111"/>
        <v>14.437500000000011</v>
      </c>
      <c r="Q230">
        <f t="shared" si="87"/>
        <v>1.3719599999999998E-2</v>
      </c>
      <c r="R230">
        <f t="shared" si="88"/>
        <v>3.1023599999999995E-2</v>
      </c>
      <c r="S230">
        <f t="shared" si="112"/>
        <v>-7.2683902467645445E-2</v>
      </c>
      <c r="T230">
        <f t="shared" si="113"/>
        <v>-0.14677734450864324</v>
      </c>
      <c r="U230">
        <f t="shared" si="114"/>
        <v>0.47600488317900269</v>
      </c>
      <c r="V230">
        <f t="shared" si="115"/>
        <v>0.23567577205103507</v>
      </c>
      <c r="W230">
        <f t="shared" si="116"/>
        <v>137.10963587234346</v>
      </c>
      <c r="X230">
        <f t="shared" si="117"/>
        <v>403.86772987908483</v>
      </c>
      <c r="Y230">
        <f t="shared" si="118"/>
        <v>0.85218461538461543</v>
      </c>
      <c r="Z230">
        <f t="shared" si="119"/>
        <v>0.85363384615384652</v>
      </c>
      <c r="AA230">
        <f t="shared" si="120"/>
        <v>4.4344615384615371E-2</v>
      </c>
      <c r="AB230">
        <f t="shared" si="121"/>
        <v>820.28742991639785</v>
      </c>
      <c r="AC230">
        <f t="shared" si="122"/>
        <v>731.55989907623473</v>
      </c>
      <c r="AD230">
        <f t="shared" si="123"/>
        <v>420.00000000000006</v>
      </c>
      <c r="AE230">
        <f t="shared" si="124"/>
        <v>420.00000000000006</v>
      </c>
      <c r="AF230">
        <f t="shared" si="101"/>
        <v>0.77540322580645193</v>
      </c>
      <c r="AG230">
        <f t="shared" si="102"/>
        <v>0.77540322580645193</v>
      </c>
      <c r="AH230">
        <f t="shared" si="125"/>
        <v>0.44251520004438266</v>
      </c>
      <c r="AI230">
        <f t="shared" si="126"/>
        <v>-0.96316866482471797</v>
      </c>
    </row>
    <row r="231" spans="1:35" x14ac:dyDescent="0.25">
      <c r="F231">
        <v>0.96000000000000096</v>
      </c>
      <c r="G231">
        <f t="shared" ref="G231:G235" si="127">IF(VoutMin=VoutMax,VoutMin*(0.8+0.4*F231),VoutMin+(VoutMax-VoutMin)*F231)</f>
        <v>19.400000000000013</v>
      </c>
      <c r="H231">
        <f t="shared" si="106"/>
        <v>0.52197530864197583</v>
      </c>
      <c r="I231">
        <f t="shared" si="107"/>
        <v>2.16</v>
      </c>
      <c r="J231">
        <f t="shared" si="108"/>
        <v>0.72148453608247398</v>
      </c>
      <c r="K231">
        <f t="shared" si="83"/>
        <v>0.24881818181818197</v>
      </c>
      <c r="L231">
        <f t="shared" si="109"/>
        <v>1.52</v>
      </c>
      <c r="M231">
        <f t="shared" si="110"/>
        <v>0.35727835051546369</v>
      </c>
      <c r="O231">
        <f t="shared" si="85"/>
        <v>19.400000000000013</v>
      </c>
      <c r="P231">
        <f t="shared" si="111"/>
        <v>14.55000000000001</v>
      </c>
      <c r="Q231">
        <f t="shared" si="87"/>
        <v>1.3719599999999998E-2</v>
      </c>
      <c r="R231">
        <f t="shared" si="88"/>
        <v>3.1023599999999995E-2</v>
      </c>
      <c r="S231">
        <f t="shared" si="112"/>
        <v>-7.2953346912089892E-2</v>
      </c>
      <c r="T231">
        <f t="shared" si="113"/>
        <v>-0.14704678895308768</v>
      </c>
      <c r="U231">
        <f t="shared" si="114"/>
        <v>0.47794117141497083</v>
      </c>
      <c r="V231">
        <f t="shared" si="115"/>
        <v>0.23707646279202835</v>
      </c>
      <c r="W231">
        <f t="shared" si="116"/>
        <v>137.10937978901845</v>
      </c>
      <c r="X231">
        <f t="shared" si="117"/>
        <v>403.86764290738955</v>
      </c>
      <c r="Y231">
        <f t="shared" si="118"/>
        <v>0.85224</v>
      </c>
      <c r="Z231">
        <f t="shared" si="119"/>
        <v>0.85996320000000059</v>
      </c>
      <c r="AA231">
        <f t="shared" si="120"/>
        <v>4.4327999999999999E-2</v>
      </c>
      <c r="AB231">
        <f t="shared" si="121"/>
        <v>820.47734625370606</v>
      </c>
      <c r="AC231">
        <f t="shared" si="122"/>
        <v>732.88621291855713</v>
      </c>
      <c r="AD231">
        <f t="shared" si="123"/>
        <v>420.00000000000006</v>
      </c>
      <c r="AE231">
        <f t="shared" si="124"/>
        <v>420.00000000000006</v>
      </c>
      <c r="AF231">
        <f t="shared" si="101"/>
        <v>0.77903225806451637</v>
      </c>
      <c r="AG231">
        <f t="shared" si="102"/>
        <v>0.77903225806451637</v>
      </c>
      <c r="AH231">
        <f t="shared" si="125"/>
        <v>0.44459171530214714</v>
      </c>
      <c r="AI231">
        <f t="shared" si="126"/>
        <v>-0.96863086283252309</v>
      </c>
    </row>
    <row r="232" spans="1:35" x14ac:dyDescent="0.25">
      <c r="F232">
        <v>0.97000000000000097</v>
      </c>
      <c r="G232">
        <f t="shared" si="127"/>
        <v>19.550000000000015</v>
      </c>
      <c r="H232">
        <f t="shared" si="106"/>
        <v>0.52753086419753148</v>
      </c>
      <c r="I232">
        <f t="shared" si="107"/>
        <v>2.16</v>
      </c>
      <c r="J232">
        <f t="shared" si="108"/>
        <v>0.71594884910485901</v>
      </c>
      <c r="K232">
        <f t="shared" si="83"/>
        <v>0.25061059044048756</v>
      </c>
      <c r="L232">
        <f t="shared" si="109"/>
        <v>1.52</v>
      </c>
      <c r="M232">
        <f t="shared" si="110"/>
        <v>0.35453708439897674</v>
      </c>
      <c r="O232">
        <f t="shared" si="85"/>
        <v>19.550000000000015</v>
      </c>
      <c r="P232">
        <f t="shared" si="111"/>
        <v>14.662500000000012</v>
      </c>
      <c r="Q232">
        <f t="shared" si="87"/>
        <v>1.3719599999999998E-2</v>
      </c>
      <c r="R232">
        <f t="shared" si="88"/>
        <v>3.1023599999999995E-2</v>
      </c>
      <c r="S232">
        <f t="shared" si="112"/>
        <v>-7.3222791356534339E-2</v>
      </c>
      <c r="T232">
        <f t="shared" si="113"/>
        <v>-0.14731623339753214</v>
      </c>
      <c r="U232">
        <f t="shared" si="114"/>
        <v>0.47986320938545868</v>
      </c>
      <c r="V232">
        <f t="shared" si="115"/>
        <v>0.23847202974822426</v>
      </c>
      <c r="W232">
        <f t="shared" si="116"/>
        <v>137.10912370569343</v>
      </c>
      <c r="X232">
        <f t="shared" si="117"/>
        <v>403.86755593569427</v>
      </c>
      <c r="Y232">
        <f t="shared" si="118"/>
        <v>0.85229538461538457</v>
      </c>
      <c r="Z232">
        <f t="shared" si="119"/>
        <v>0.86628756923077022</v>
      </c>
      <c r="AA232">
        <f t="shared" si="120"/>
        <v>4.4311384615384634E-2</v>
      </c>
      <c r="AB232">
        <f t="shared" si="121"/>
        <v>820.65148489015598</v>
      </c>
      <c r="AC232">
        <f t="shared" si="122"/>
        <v>734.19476340312815</v>
      </c>
      <c r="AD232">
        <f t="shared" si="123"/>
        <v>420.00000000000006</v>
      </c>
      <c r="AE232">
        <f t="shared" si="124"/>
        <v>420.00000000000006</v>
      </c>
      <c r="AF232">
        <f t="shared" si="101"/>
        <v>0.78266129032258103</v>
      </c>
      <c r="AG232">
        <f t="shared" si="102"/>
        <v>0.78266129032258103</v>
      </c>
      <c r="AH232">
        <f t="shared" si="125"/>
        <v>0.44670913182674354</v>
      </c>
      <c r="AI232">
        <f t="shared" si="126"/>
        <v>-0.9739860277518525</v>
      </c>
    </row>
    <row r="233" spans="1:35" x14ac:dyDescent="0.25">
      <c r="F233">
        <v>0.98000000000000098</v>
      </c>
      <c r="G233">
        <f t="shared" si="127"/>
        <v>19.700000000000017</v>
      </c>
      <c r="H233">
        <f t="shared" si="106"/>
        <v>0.53308641975308702</v>
      </c>
      <c r="I233">
        <f t="shared" si="107"/>
        <v>2.16</v>
      </c>
      <c r="J233">
        <f t="shared" si="108"/>
        <v>0.71049746192893359</v>
      </c>
      <c r="K233">
        <f t="shared" si="83"/>
        <v>0.25240299906279312</v>
      </c>
      <c r="L233">
        <f t="shared" si="109"/>
        <v>1.52</v>
      </c>
      <c r="M233">
        <f t="shared" si="110"/>
        <v>0.35183756345177636</v>
      </c>
      <c r="O233">
        <f t="shared" si="85"/>
        <v>19.700000000000017</v>
      </c>
      <c r="P233">
        <f t="shared" si="111"/>
        <v>14.775000000000013</v>
      </c>
      <c r="Q233">
        <f t="shared" si="87"/>
        <v>1.3719599999999998E-2</v>
      </c>
      <c r="R233">
        <f t="shared" si="88"/>
        <v>3.1023599999999995E-2</v>
      </c>
      <c r="S233">
        <f t="shared" si="112"/>
        <v>-7.3492235800978786E-2</v>
      </c>
      <c r="T233">
        <f t="shared" si="113"/>
        <v>-0.14758567784197657</v>
      </c>
      <c r="U233">
        <f t="shared" si="114"/>
        <v>0.48177115382762975</v>
      </c>
      <c r="V233">
        <f t="shared" si="115"/>
        <v>0.23986250098282044</v>
      </c>
      <c r="W233">
        <f t="shared" si="116"/>
        <v>137.10886762236839</v>
      </c>
      <c r="X233">
        <f t="shared" si="117"/>
        <v>403.86746896399899</v>
      </c>
      <c r="Y233">
        <f t="shared" si="118"/>
        <v>0.85235076923076925</v>
      </c>
      <c r="Z233">
        <f t="shared" si="119"/>
        <v>0.87260695384615439</v>
      </c>
      <c r="AA233">
        <f t="shared" si="120"/>
        <v>4.4294769230769221E-2</v>
      </c>
      <c r="AB233">
        <f t="shared" si="121"/>
        <v>820.81018935925954</v>
      </c>
      <c r="AC233">
        <f t="shared" si="122"/>
        <v>735.48585198758428</v>
      </c>
      <c r="AD233">
        <f t="shared" si="123"/>
        <v>420.00000000000006</v>
      </c>
      <c r="AE233">
        <f t="shared" si="124"/>
        <v>420.00000000000006</v>
      </c>
      <c r="AF233">
        <f t="shared" si="101"/>
        <v>0.78629032258064557</v>
      </c>
      <c r="AG233">
        <f t="shared" si="102"/>
        <v>0.78629032258064557</v>
      </c>
      <c r="AH233">
        <f t="shared" si="125"/>
        <v>0.44886638405821072</v>
      </c>
      <c r="AI233">
        <f t="shared" si="126"/>
        <v>-0.97923522172569644</v>
      </c>
    </row>
    <row r="234" spans="1:35" x14ac:dyDescent="0.25">
      <c r="F234">
        <v>0.99000000000000099</v>
      </c>
      <c r="G234">
        <f t="shared" si="127"/>
        <v>19.850000000000016</v>
      </c>
      <c r="H234">
        <f t="shared" si="106"/>
        <v>0.53864197530864255</v>
      </c>
      <c r="I234">
        <f t="shared" si="107"/>
        <v>2.16</v>
      </c>
      <c r="J234">
        <f t="shared" si="108"/>
        <v>0.70512846347607017</v>
      </c>
      <c r="K234">
        <f t="shared" si="83"/>
        <v>0.25419540768509863</v>
      </c>
      <c r="L234">
        <f t="shared" si="109"/>
        <v>1.52</v>
      </c>
      <c r="M234">
        <f t="shared" si="110"/>
        <v>0.34917884130982341</v>
      </c>
      <c r="O234">
        <f t="shared" si="85"/>
        <v>19.850000000000016</v>
      </c>
      <c r="P234">
        <f t="shared" si="111"/>
        <v>14.887500000000012</v>
      </c>
      <c r="Q234">
        <f t="shared" si="87"/>
        <v>1.3719599999999998E-2</v>
      </c>
      <c r="R234">
        <f t="shared" si="88"/>
        <v>3.1023599999999995E-2</v>
      </c>
      <c r="S234">
        <f t="shared" si="112"/>
        <v>-7.376168024542322E-2</v>
      </c>
      <c r="T234">
        <f t="shared" si="113"/>
        <v>-0.14785512228642103</v>
      </c>
      <c r="U234">
        <f t="shared" si="114"/>
        <v>0.48366515918846376</v>
      </c>
      <c r="V234">
        <f t="shared" si="115"/>
        <v>0.24124790435445009</v>
      </c>
      <c r="W234">
        <f t="shared" si="116"/>
        <v>137.10861153904335</v>
      </c>
      <c r="X234">
        <f t="shared" si="117"/>
        <v>403.86738199230359</v>
      </c>
      <c r="Y234">
        <f t="shared" si="118"/>
        <v>0.85240615384615381</v>
      </c>
      <c r="Z234">
        <f t="shared" si="119"/>
        <v>0.87892135384615466</v>
      </c>
      <c r="AA234">
        <f t="shared" si="120"/>
        <v>4.4278153846153849E-2</v>
      </c>
      <c r="AB234">
        <f t="shared" si="121"/>
        <v>820.95379452173484</v>
      </c>
      <c r="AC234">
        <f t="shared" si="122"/>
        <v>736.75977339492874</v>
      </c>
      <c r="AD234">
        <f t="shared" si="123"/>
        <v>420.00000000000006</v>
      </c>
      <c r="AE234">
        <f t="shared" si="124"/>
        <v>420.00000000000006</v>
      </c>
      <c r="AF234">
        <f t="shared" si="101"/>
        <v>0.78991935483871001</v>
      </c>
      <c r="AG234">
        <f t="shared" si="102"/>
        <v>0.78991935483871001</v>
      </c>
      <c r="AH234">
        <f t="shared" si="125"/>
        <v>0.4510624309695338</v>
      </c>
      <c r="AI234">
        <f t="shared" si="126"/>
        <v>-0.98437949569179628</v>
      </c>
    </row>
    <row r="235" spans="1:35" x14ac:dyDescent="0.25">
      <c r="F235">
        <v>1</v>
      </c>
      <c r="G235">
        <f t="shared" si="127"/>
        <v>20</v>
      </c>
      <c r="H235">
        <f t="shared" si="106"/>
        <v>0.54419753086419753</v>
      </c>
      <c r="I235">
        <f t="shared" si="107"/>
        <v>2.3199999999999998</v>
      </c>
      <c r="J235">
        <f t="shared" si="108"/>
        <v>0.80735999999999986</v>
      </c>
      <c r="K235">
        <f t="shared" si="83"/>
        <v>0.25598781630740397</v>
      </c>
      <c r="L235">
        <f t="shared" si="109"/>
        <v>1.52</v>
      </c>
      <c r="M235">
        <f t="shared" si="110"/>
        <v>0.34656000000000003</v>
      </c>
      <c r="O235">
        <f t="shared" si="85"/>
        <v>20</v>
      </c>
      <c r="P235">
        <f t="shared" si="111"/>
        <v>15</v>
      </c>
      <c r="Q235">
        <f t="shared" si="87"/>
        <v>1.3719599999999998E-2</v>
      </c>
      <c r="R235">
        <f t="shared" si="88"/>
        <v>3.1023599999999995E-2</v>
      </c>
      <c r="S235">
        <f t="shared" si="112"/>
        <v>-7.4031124689867639E-2</v>
      </c>
      <c r="T235">
        <f t="shared" si="113"/>
        <v>-0.14812456673086544</v>
      </c>
      <c r="U235">
        <f t="shared" si="114"/>
        <v>0.48554537766643263</v>
      </c>
      <c r="V235">
        <f t="shared" si="115"/>
        <v>0.24262826751904251</v>
      </c>
      <c r="W235">
        <f t="shared" si="116"/>
        <v>137.10835545571834</v>
      </c>
      <c r="X235">
        <f t="shared" si="117"/>
        <v>403.86729502060831</v>
      </c>
      <c r="Y235">
        <f t="shared" si="118"/>
        <v>0.85246153846153849</v>
      </c>
      <c r="Z235">
        <f t="shared" si="119"/>
        <v>0.88523076923076904</v>
      </c>
      <c r="AA235">
        <f t="shared" si="120"/>
        <v>4.4261538461538449E-2</v>
      </c>
      <c r="AB235">
        <f t="shared" si="121"/>
        <v>821.08262683076669</v>
      </c>
      <c r="AC235">
        <f t="shared" si="122"/>
        <v>738.01681580049035</v>
      </c>
      <c r="AD235">
        <f t="shared" si="123"/>
        <v>420.00000000000006</v>
      </c>
      <c r="AE235">
        <f t="shared" si="124"/>
        <v>420.00000000000006</v>
      </c>
      <c r="AF235">
        <f t="shared" si="101"/>
        <v>0.79354838709677422</v>
      </c>
      <c r="AG235">
        <f t="shared" si="102"/>
        <v>0.79354838709677422</v>
      </c>
      <c r="AH235">
        <f t="shared" si="125"/>
        <v>0.45329625545766944</v>
      </c>
      <c r="AI235">
        <f t="shared" si="126"/>
        <v>-0.98941988951599802</v>
      </c>
    </row>
    <row r="237" spans="1:35" x14ac:dyDescent="0.25">
      <c r="A237" s="1" t="s">
        <v>556</v>
      </c>
      <c r="B237" s="1">
        <f>Kf*VoutMax/IoutVoutMax*VinNom/(2*VoutMax+VinNom)</f>
        <v>1.7105513370852232</v>
      </c>
      <c r="C237" s="1" t="s">
        <v>558</v>
      </c>
    </row>
    <row r="238" spans="1:35" x14ac:dyDescent="0.25">
      <c r="A238" s="1" t="s">
        <v>559</v>
      </c>
      <c r="B238" s="1">
        <f>20*LOG(DC_Gain)</f>
        <v>4.6627222553472167</v>
      </c>
      <c r="C238" s="1" t="s">
        <v>560</v>
      </c>
    </row>
    <row r="239" spans="1:35" x14ac:dyDescent="0.25">
      <c r="A239" t="s">
        <v>582</v>
      </c>
      <c r="B239">
        <f>20*LOG(DC_Gain*(1-(2*PI()*CrossoverDesired*10^3*Lch*10^-6*DutyACFVinminVoutmaxIoutVoutMax)/((1-DutyACFVinminVoutmaxIoutVoutMax)^2*VoutMax/IoutVoutMax))/(1+2*PI()*CrossoverDesired*10^3*VoutMax/IoutVoutMax*(CoutCountC*CoutCValue+CoutCountE*CoutEValue)*10^-6/(1+DutyACFVinminVoutmaxIoutVoutMax)))</f>
        <v>-39.088844383103897</v>
      </c>
      <c r="C239" t="s">
        <v>560</v>
      </c>
    </row>
    <row r="240" spans="1:35" x14ac:dyDescent="0.25">
      <c r="A240" t="s">
        <v>583</v>
      </c>
      <c r="B240">
        <f>180/PI()*ATAN(-2*PI()*CrossoverDesired*10^3*VoutMax/IoutVoutMax*(CoutCountC*CoutCValue+CoutCountE*CoutEValue)*10^-6)+ATAN(-2*PI()*DutyACFVinminVoutmaxIoutVoutMax*Lch*10^-6/((1-DutyACFVinminVoutmaxIoutVoutMax)^2*VoutMax/IoutVoutMax))*180/PI()</f>
        <v>-89.41092986819956</v>
      </c>
    </row>
    <row r="241" spans="1:5" x14ac:dyDescent="0.25">
      <c r="A241" t="s">
        <v>584</v>
      </c>
      <c r="B241">
        <f>-B239</f>
        <v>39.088844383103897</v>
      </c>
      <c r="C241" t="s">
        <v>560</v>
      </c>
    </row>
    <row r="242" spans="1:5" x14ac:dyDescent="0.25">
      <c r="A242" t="s">
        <v>587</v>
      </c>
      <c r="B242">
        <f>60-B240-(IF(60-B240&gt;90,90,0))</f>
        <v>59.41092986819956</v>
      </c>
    </row>
    <row r="243" spans="1:5" x14ac:dyDescent="0.25">
      <c r="A243" t="s">
        <v>588</v>
      </c>
      <c r="B243">
        <f>(TAN(B242*PI()/180)+SQRT(TAN(B242*PI()/180)^2+1))*CrossoverDesired</f>
        <v>9.141886699829481</v>
      </c>
      <c r="E243" t="s">
        <v>578</v>
      </c>
    </row>
    <row r="244" spans="1:5" x14ac:dyDescent="0.25">
      <c r="A244" t="s">
        <v>589</v>
      </c>
      <c r="B244">
        <f>(CrossoverDesired*10^3)^2/(B243*10^3)/10^3</f>
        <v>0.68366631585103521</v>
      </c>
      <c r="E244" s="89" t="s">
        <v>590</v>
      </c>
    </row>
    <row r="245" spans="1:5" x14ac:dyDescent="0.25">
      <c r="B245">
        <f>SQRT(B244*B243)</f>
        <v>2.5</v>
      </c>
    </row>
    <row r="246" spans="1:5" x14ac:dyDescent="0.25">
      <c r="A246" t="s">
        <v>592</v>
      </c>
      <c r="B246">
        <f>(Copto*10^-12+1/(2*PI()*FoptoCutoff*Rpullup_Primary*10^6))*10^9</f>
        <v>0.45367765131532295</v>
      </c>
      <c r="C246" t="s">
        <v>236</v>
      </c>
    </row>
    <row r="247" spans="1:5" x14ac:dyDescent="0.25">
      <c r="A247" t="s">
        <v>609</v>
      </c>
      <c r="B247">
        <f>1/(2*PI()*VdivHigh*10^3*Fzero*10^3)*10^9</f>
        <v>2.3279623319422651</v>
      </c>
      <c r="C247" t="s">
        <v>236</v>
      </c>
    </row>
    <row r="248" spans="1:5" x14ac:dyDescent="0.25">
      <c r="A248" t="s">
        <v>610</v>
      </c>
      <c r="B248">
        <f>IF(1/(2*PI()*Rpullup_Primary*Fpole*10^6)*10^12-CoptoTot*10^3&lt;0,0,1/(2*PI()*Rpullup_Primary*Fpole*10^6)*10^12-CoptoTot*10^3)</f>
        <v>0</v>
      </c>
      <c r="C248" t="s">
        <v>29</v>
      </c>
    </row>
    <row r="249" spans="1:5" x14ac:dyDescent="0.25">
      <c r="A249" t="s">
        <v>593</v>
      </c>
      <c r="B249">
        <f>Rpullup_Primary*10^3*OptoCTR/(10^(CompNecessaryGain/20))*10^-3</f>
        <v>2.2212005713321794</v>
      </c>
      <c r="C249" t="s">
        <v>40</v>
      </c>
    </row>
    <row r="250" spans="1:5" x14ac:dyDescent="0.25">
      <c r="A250" t="s">
        <v>594</v>
      </c>
      <c r="B250">
        <f>Rpullup_Primary*10^3*Rpulldown_Primary*10^3/(10^3*Rpulldown_Primary+10^3*Rpullup_Primary)</f>
        <v>33333.333333333336</v>
      </c>
    </row>
    <row r="251" spans="1:5" x14ac:dyDescent="0.25">
      <c r="A251" t="s">
        <v>595</v>
      </c>
      <c r="B251">
        <f>B250*OptoCTR/(RLEDCh*10^3)</f>
        <v>83.333333333333343</v>
      </c>
    </row>
    <row r="252" spans="1:5" x14ac:dyDescent="0.25">
      <c r="A252" t="s">
        <v>596</v>
      </c>
      <c r="B252">
        <f>2*PI()*CZeroCh*10^-9*VdivHigh*10^3</f>
        <v>1.4639821765728438E-3</v>
      </c>
    </row>
    <row r="253" spans="1:5" x14ac:dyDescent="0.25">
      <c r="A253" t="s">
        <v>597</v>
      </c>
      <c r="B253">
        <f>B252</f>
        <v>1.4639821765728438E-3</v>
      </c>
    </row>
    <row r="254" spans="1:5" x14ac:dyDescent="0.25">
      <c r="A254" t="s">
        <v>598</v>
      </c>
      <c r="B254">
        <f>2*PI()*B250*(CoptoTot+IF(Cap2ChFB="DNI",0,Cap2ChFB)/1000)*10^-9</f>
        <v>9.5018025098006034E-5</v>
      </c>
    </row>
    <row r="255" spans="1:5" x14ac:dyDescent="0.25">
      <c r="A255" t="s">
        <v>601</v>
      </c>
      <c r="B255">
        <f>10^(CompNecessaryGain/20)</f>
        <v>90.041395892514444</v>
      </c>
    </row>
    <row r="256" spans="1:5" x14ac:dyDescent="0.25">
      <c r="A256" t="s">
        <v>599</v>
      </c>
      <c r="B256">
        <f>((-B255*B253+B252*B251)+SQRT((B255*B253-B252*B251)^2-4*B253*B254*B255*(-B251)))/(2*B255*B253*B254)*10^-3</f>
        <v>2.2169838002223683</v>
      </c>
    </row>
    <row r="257" spans="1:2" x14ac:dyDescent="0.25">
      <c r="A257" t="s">
        <v>600</v>
      </c>
      <c r="B257">
        <f>((-B255*B253+B252*B251)-SQRT((B255*B253-B252*B251)^2-4*B253*B254*B255*(-B251)))/(2*B255*B253*B254)*10^-3</f>
        <v>-3.0010430549593803</v>
      </c>
    </row>
    <row r="258" spans="1:2" x14ac:dyDescent="0.25">
      <c r="A258" t="s">
        <v>603</v>
      </c>
      <c r="B258">
        <f>B240+90+ATAN(-2*PI()*IF(CrossoverEstimate1&gt;0,CrossoverEstimate1,CrossoverEstimate2)*10^3*B250*(CoptoTot+IF(Cap2ChFB="DNI",0,Cap2ChFB)/1000)*10^-9)*180/PI()+ATAN(2*PI()*IF(CrossoverEstimate1&gt;0,CrossoverEstimate1,CrossoverEstimate2)*10^3*CZeroCh*10^-9*VdivHigh*10^3)*180/PI()</f>
        <v>61.569002388050613</v>
      </c>
    </row>
  </sheetData>
  <hyperlinks>
    <hyperlink ref="D181" r:id="rId1"/>
    <hyperlink ref="E244" r:id="rId2"/>
  </hyperlinks>
  <pageMargins left="0.7" right="0.7" top="0.75" bottom="0.75" header="0.3" footer="0.3"/>
  <drawing r:id="rId3"/>
  <legacyDrawing r:id="rId4"/>
  <oleObjects>
    <mc:AlternateContent xmlns:mc="http://schemas.openxmlformats.org/markup-compatibility/2006">
      <mc:Choice Requires="x14">
        <oleObject progId="Visio.Drawing.15" shapeId="5121" r:id="rId5">
          <objectPr defaultSize="0" r:id="rId6">
            <anchor moveWithCells="1">
              <from>
                <xdr:col>4</xdr:col>
                <xdr:colOff>228600</xdr:colOff>
                <xdr:row>48</xdr:row>
                <xdr:rowOff>133350</xdr:rowOff>
              </from>
              <to>
                <xdr:col>8</xdr:col>
                <xdr:colOff>504825</xdr:colOff>
                <xdr:row>60</xdr:row>
                <xdr:rowOff>0</xdr:rowOff>
              </to>
            </anchor>
          </objectPr>
        </oleObject>
      </mc:Choice>
      <mc:Fallback>
        <oleObject progId="Visio.Drawing.15" shapeId="5121" r:id="rId5"/>
      </mc:Fallback>
    </mc:AlternateContent>
    <mc:AlternateContent xmlns:mc="http://schemas.openxmlformats.org/markup-compatibility/2006">
      <mc:Choice Requires="x14">
        <oleObject progId="Visio.Drawing.15" shapeId="5122" r:id="rId7">
          <objectPr defaultSize="0" autoPict="0" r:id="rId8">
            <anchor moveWithCells="1">
              <from>
                <xdr:col>4</xdr:col>
                <xdr:colOff>257175</xdr:colOff>
                <xdr:row>39</xdr:row>
                <xdr:rowOff>104775</xdr:rowOff>
              </from>
              <to>
                <xdr:col>8</xdr:col>
                <xdr:colOff>523875</xdr:colOff>
                <xdr:row>48</xdr:row>
                <xdr:rowOff>95250</xdr:rowOff>
              </to>
            </anchor>
          </objectPr>
        </oleObject>
      </mc:Choice>
      <mc:Fallback>
        <oleObject progId="Visio.Drawing.15" shapeId="5122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388</vt:i4>
      </vt:variant>
    </vt:vector>
  </HeadingPairs>
  <TitlesOfParts>
    <vt:vector size="393" baseType="lpstr">
      <vt:lpstr>Revisions</vt:lpstr>
      <vt:lpstr>Parameters</vt:lpstr>
      <vt:lpstr>Losses</vt:lpstr>
      <vt:lpstr>Schematics</vt:lpstr>
      <vt:lpstr>Additional Calculations</vt:lpstr>
      <vt:lpstr>ACRes2</vt:lpstr>
      <vt:lpstr>Ae</vt:lpstr>
      <vt:lpstr>alpha</vt:lpstr>
      <vt:lpstr>AtoDFswVoMax</vt:lpstr>
      <vt:lpstr>AtoDFswVoMin</vt:lpstr>
      <vt:lpstr>AtoDTrans</vt:lpstr>
      <vt:lpstr>AWGSec</vt:lpstr>
      <vt:lpstr>AWGsigskinVinminVoutmaxIoutMVout</vt:lpstr>
      <vt:lpstr>AWGSp</vt:lpstr>
      <vt:lpstr>Bdepth</vt:lpstr>
      <vt:lpstr>beta</vt:lpstr>
      <vt:lpstr>BinVoltageVathNoZener</vt:lpstr>
      <vt:lpstr>BinVoltageVathZener</vt:lpstr>
      <vt:lpstr>BmPkVinminVoutmaxIoutMVout</vt:lpstr>
      <vt:lpstr>BobbinArea</vt:lpstr>
      <vt:lpstr>BobbinInnerDiameter</vt:lpstr>
      <vt:lpstr>BobbinMTL</vt:lpstr>
      <vt:lpstr>BobbinOuterDiameter</vt:lpstr>
      <vt:lpstr>Boot_IQ</vt:lpstr>
      <vt:lpstr>Bootripple</vt:lpstr>
      <vt:lpstr>Bridge_Derating</vt:lpstr>
      <vt:lpstr>Bwindow</vt:lpstr>
      <vt:lpstr>Cap2ChFB</vt:lpstr>
      <vt:lpstr>Cap2RecFB</vt:lpstr>
      <vt:lpstr>CbootCh</vt:lpstr>
      <vt:lpstr>CbootRec</vt:lpstr>
      <vt:lpstr>CbootRipple</vt:lpstr>
      <vt:lpstr>CbootskipVoutminIbootish</vt:lpstr>
      <vt:lpstr>CbulkCh</vt:lpstr>
      <vt:lpstr>CbulkRec</vt:lpstr>
      <vt:lpstr>CclampCh</vt:lpstr>
      <vt:lpstr>CclampRec</vt:lpstr>
      <vt:lpstr>CcoutRecC</vt:lpstr>
      <vt:lpstr>CcoutRecE</vt:lpstr>
      <vt:lpstr>Cdrv</vt:lpstr>
      <vt:lpstr>CharlieIntegral</vt:lpstr>
      <vt:lpstr>CircleInCircle</vt:lpstr>
      <vt:lpstr>CompDel</vt:lpstr>
      <vt:lpstr>CompNecessaryGain</vt:lpstr>
      <vt:lpstr>CompNecessaryPhase</vt:lpstr>
      <vt:lpstr>Copto</vt:lpstr>
      <vt:lpstr>CoptoTot</vt:lpstr>
      <vt:lpstr>COSSHigh</vt:lpstr>
      <vt:lpstr>COSSHigh10V</vt:lpstr>
      <vt:lpstr>CossHighAVG</vt:lpstr>
      <vt:lpstr>COSSLow</vt:lpstr>
      <vt:lpstr>COSSLow10V</vt:lpstr>
      <vt:lpstr>CossLowAVG</vt:lpstr>
      <vt:lpstr>COSSSec</vt:lpstr>
      <vt:lpstr>COSSSec10V</vt:lpstr>
      <vt:lpstr>CossSecAVG</vt:lpstr>
      <vt:lpstr>CoutCountC</vt:lpstr>
      <vt:lpstr>CoutCountE</vt:lpstr>
      <vt:lpstr>CoutCValue</vt:lpstr>
      <vt:lpstr>CoutEValue</vt:lpstr>
      <vt:lpstr>CrossoverDesired</vt:lpstr>
      <vt:lpstr>CrossoverEstimate1</vt:lpstr>
      <vt:lpstr>CrossoverEstimate2</vt:lpstr>
      <vt:lpstr>CrossSectionalAreaofWire</vt:lpstr>
      <vt:lpstr>CrossSectionalAreaofWireSec</vt:lpstr>
      <vt:lpstr>CsecESRTot</vt:lpstr>
      <vt:lpstr>CSOption</vt:lpstr>
      <vt:lpstr>CswTotal</vt:lpstr>
      <vt:lpstr>CurrentLimit</vt:lpstr>
      <vt:lpstr>CvccCDerate</vt:lpstr>
      <vt:lpstr>CvccCh</vt:lpstr>
      <vt:lpstr>CVccCRec</vt:lpstr>
      <vt:lpstr>CvccDecouple</vt:lpstr>
      <vt:lpstr>CvccEDerate</vt:lpstr>
      <vt:lpstr>CvccERec</vt:lpstr>
      <vt:lpstr>CvccRec</vt:lpstr>
      <vt:lpstr>CXFMR</vt:lpstr>
      <vt:lpstr>CZeroCh</vt:lpstr>
      <vt:lpstr>CZeroRecommend</vt:lpstr>
      <vt:lpstr>Dbootleak</vt:lpstr>
      <vt:lpstr>DC_Gain</vt:lpstr>
      <vt:lpstr>DclampcapRec</vt:lpstr>
      <vt:lpstr>Dcore</vt:lpstr>
      <vt:lpstr>DepthCore</vt:lpstr>
      <vt:lpstr>DepthNumber12</vt:lpstr>
      <vt:lpstr>dIACFVinminVoutmaxItranACF</vt:lpstr>
      <vt:lpstr>dIACFVinminVoutminItranACF</vt:lpstr>
      <vt:lpstr>DiameterAWG</vt:lpstr>
      <vt:lpstr>DiameterAWGSec</vt:lpstr>
      <vt:lpstr>DissFact</vt:lpstr>
      <vt:lpstr>DtoATrans</vt:lpstr>
      <vt:lpstr>DutyACFVinminVoutmaxIoutVoutMax</vt:lpstr>
      <vt:lpstr>DutyACFVinminVoutmaxItranACF</vt:lpstr>
      <vt:lpstr>DutyACFVinminVoutminIoutMax</vt:lpstr>
      <vt:lpstr>DutyACFVinminVoutminItranACF</vt:lpstr>
      <vt:lpstr>DutyMax</vt:lpstr>
      <vt:lpstr>DutyMaxVinmin</vt:lpstr>
      <vt:lpstr>Eff4W</vt:lpstr>
      <vt:lpstr>EffFL</vt:lpstr>
      <vt:lpstr>ESRBulkCalc</vt:lpstr>
      <vt:lpstr>ESRBulkCh</vt:lpstr>
      <vt:lpstr>ESROutC1x</vt:lpstr>
      <vt:lpstr>ESROutE1x</vt:lpstr>
      <vt:lpstr>ESRRec</vt:lpstr>
      <vt:lpstr>FactorforSquareWaves</vt:lpstr>
      <vt:lpstr>FBGain</vt:lpstr>
      <vt:lpstr>FHSAVG</vt:lpstr>
      <vt:lpstr>FinalPhase</vt:lpstr>
      <vt:lpstr>FinMax</vt:lpstr>
      <vt:lpstr>FinMin</vt:lpstr>
      <vt:lpstr>FinNom</vt:lpstr>
      <vt:lpstr>FLSAVG</vt:lpstr>
      <vt:lpstr>FminACF</vt:lpstr>
      <vt:lpstr>FneededVoutminIbootish</vt:lpstr>
      <vt:lpstr>FoptoCutoff</vt:lpstr>
      <vt:lpstr>Fpole</vt:lpstr>
      <vt:lpstr>FswACFMax</vt:lpstr>
      <vt:lpstr>FswACFMinChRt</vt:lpstr>
      <vt:lpstr>FswACFVinminVoutmaxItranACF</vt:lpstr>
      <vt:lpstr>FswACFVinminVoutminItranACF</vt:lpstr>
      <vt:lpstr>FswDCMMax</vt:lpstr>
      <vt:lpstr>FSWMin</vt:lpstr>
      <vt:lpstr>FswNolimACFVinminVoutmaxItranACF</vt:lpstr>
      <vt:lpstr>FswNolimACFVinminVoutminItranACF</vt:lpstr>
      <vt:lpstr>FswVinminVoutmaxIoutMVout</vt:lpstr>
      <vt:lpstr>FswVinminVoutminIoutMax</vt:lpstr>
      <vt:lpstr>Fuse_Resistance</vt:lpstr>
      <vt:lpstr>FwaveVinminVoutmaxIoutMVout</vt:lpstr>
      <vt:lpstr>Fzero</vt:lpstr>
      <vt:lpstr>gapcalc</vt:lpstr>
      <vt:lpstr>HV_Diode_Derate</vt:lpstr>
      <vt:lpstr>HVRes1</vt:lpstr>
      <vt:lpstr>HVRes2</vt:lpstr>
      <vt:lpstr>HVResSum</vt:lpstr>
      <vt:lpstr>IATH</vt:lpstr>
      <vt:lpstr>Ibias431</vt:lpstr>
      <vt:lpstr>Ibootish</vt:lpstr>
      <vt:lpstr>IBridgeRate</vt:lpstr>
      <vt:lpstr>ICC1568P</vt:lpstr>
      <vt:lpstr>ICCQGTot</vt:lpstr>
      <vt:lpstr>IcircVoutmaxIoutVoutMax</vt:lpstr>
      <vt:lpstr>IcircVoutmaxItranACF</vt:lpstr>
      <vt:lpstr>IcircVoutminIoutMax</vt:lpstr>
      <vt:lpstr>IcircVoutminItranACF</vt:lpstr>
      <vt:lpstr>IdPeak</vt:lpstr>
      <vt:lpstr>IDriver</vt:lpstr>
      <vt:lpstr>IdrvExt</vt:lpstr>
      <vt:lpstr>IDTH</vt:lpstr>
      <vt:lpstr>Ifuse</vt:lpstr>
      <vt:lpstr>Igss</vt:lpstr>
      <vt:lpstr>IinAVGMax</vt:lpstr>
      <vt:lpstr>IinDCMax</vt:lpstr>
      <vt:lpstr>IinPeakMax</vt:lpstr>
      <vt:lpstr>IinRMSMax</vt:lpstr>
      <vt:lpstr>ILSSWRMSVinminVoutmaxIoutVoutMax</vt:lpstr>
      <vt:lpstr>ImaxACFVinminVoutmaxIoutMVout</vt:lpstr>
      <vt:lpstr>ImaxACFVinminVoutmaxItranACF</vt:lpstr>
      <vt:lpstr>ImaxACFVinminVoutminItranACF</vt:lpstr>
      <vt:lpstr>ImidACFVinminVoutmaxItranACF</vt:lpstr>
      <vt:lpstr>ImidACFVinminVoutminItranACF</vt:lpstr>
      <vt:lpstr>ImpedCOUTMAXVinmaxVoutminIoutMax</vt:lpstr>
      <vt:lpstr>InegVinminVoutmax</vt:lpstr>
      <vt:lpstr>InegVinminVoutmin</vt:lpstr>
      <vt:lpstr>InsulationSpace</vt:lpstr>
      <vt:lpstr>IntegralISEC</vt:lpstr>
      <vt:lpstr>IntegralISWRMS</vt:lpstr>
      <vt:lpstr>IoutMax</vt:lpstr>
      <vt:lpstr>IoutVoutMax</vt:lpstr>
      <vt:lpstr>IpkACFVinminVoutmaxIoutVoutMax</vt:lpstr>
      <vt:lpstr>IPKDCMVinminVoutmaxItran</vt:lpstr>
      <vt:lpstr>IPKDCMVinminVoutminItran</vt:lpstr>
      <vt:lpstr>IpkFrz</vt:lpstr>
      <vt:lpstr>IpkMarVinmaxVoutminIoutMax</vt:lpstr>
      <vt:lpstr>ISECRMS</vt:lpstr>
      <vt:lpstr>Isoftstart</vt:lpstr>
      <vt:lpstr>Isolation</vt:lpstr>
      <vt:lpstr>ISW2RMS</vt:lpstr>
      <vt:lpstr>ItransPriRMSVinminVoutmaxIoutMVout</vt:lpstr>
      <vt:lpstr>IVCCAdditional</vt:lpstr>
      <vt:lpstr>Ke</vt:lpstr>
      <vt:lpstr>Kf</vt:lpstr>
      <vt:lpstr>Kfb</vt:lpstr>
      <vt:lpstr>KH</vt:lpstr>
      <vt:lpstr>Kk</vt:lpstr>
      <vt:lpstr>Layers2</vt:lpstr>
      <vt:lpstr>Lc</vt:lpstr>
      <vt:lpstr>Lch</vt:lpstr>
      <vt:lpstr>Lleak</vt:lpstr>
      <vt:lpstr>MuO</vt:lpstr>
      <vt:lpstr>MuR</vt:lpstr>
      <vt:lpstr>MuRC</vt:lpstr>
      <vt:lpstr>Naux1</vt:lpstr>
      <vt:lpstr>NauxHigh</vt:lpstr>
      <vt:lpstr>Nauxsec</vt:lpstr>
      <vt:lpstr>NauxTakeover</vt:lpstr>
      <vt:lpstr>NauxTot</vt:lpstr>
      <vt:lpstr>NBridge</vt:lpstr>
      <vt:lpstr>Nch</vt:lpstr>
      <vt:lpstr>NCT</vt:lpstr>
      <vt:lpstr>nLinVoutmaxIoutVoutMax</vt:lpstr>
      <vt:lpstr>nLinVoutmaxITranACF</vt:lpstr>
      <vt:lpstr>nLinVoutminIoutMax</vt:lpstr>
      <vt:lpstr>nLinVoutminITranACF</vt:lpstr>
      <vt:lpstr>NpriLayers</vt:lpstr>
      <vt:lpstr>NpriLitz</vt:lpstr>
      <vt:lpstr>NpTurns</vt:lpstr>
      <vt:lpstr>Nsec</vt:lpstr>
      <vt:lpstr>NSecLayers</vt:lpstr>
      <vt:lpstr>Number123</vt:lpstr>
      <vt:lpstr>OppCVinmax</vt:lpstr>
      <vt:lpstr>OppCVinmin</vt:lpstr>
      <vt:lpstr>OppCVVinmax</vt:lpstr>
      <vt:lpstr>OPPExtVinminVoutmax</vt:lpstr>
      <vt:lpstr>OPPExtVinminVoutmin</vt:lpstr>
      <vt:lpstr>OptoCTR</vt:lpstr>
      <vt:lpstr>palocation</vt:lpstr>
      <vt:lpstr>palocationsec</vt:lpstr>
      <vt:lpstr>para12</vt:lpstr>
      <vt:lpstr>Para2</vt:lpstr>
      <vt:lpstr>PauxWind</vt:lpstr>
      <vt:lpstr>Pbridge</vt:lpstr>
      <vt:lpstr>Pbulk</vt:lpstr>
      <vt:lpstr>PCapsOut</vt:lpstr>
      <vt:lpstr>PcircVoutmaxIoutVoutMax</vt:lpstr>
      <vt:lpstr>PcircVoutmaxItranACF</vt:lpstr>
      <vt:lpstr>PcircVoutminIoutMax</vt:lpstr>
      <vt:lpstr>PcircVoutminItranACF</vt:lpstr>
      <vt:lpstr>Pclamp</vt:lpstr>
      <vt:lpstr>PClampCap</vt:lpstr>
      <vt:lpstr>pcop</vt:lpstr>
      <vt:lpstr>PcoreSQ22</vt:lpstr>
      <vt:lpstr>PCST</vt:lpstr>
      <vt:lpstr>PcvML29D</vt:lpstr>
      <vt:lpstr>Permitted_Total_Loss</vt:lpstr>
      <vt:lpstr>Pfuse</vt:lpstr>
      <vt:lpstr>PHSConduction</vt:lpstr>
      <vt:lpstr>PLSConduction</vt:lpstr>
      <vt:lpstr>Pmargin</vt:lpstr>
      <vt:lpstr>PNoLoadBoot</vt:lpstr>
      <vt:lpstr>Pout</vt:lpstr>
      <vt:lpstr>PowerFactor</vt:lpstr>
      <vt:lpstr>PPSSInt</vt:lpstr>
      <vt:lpstr>PriAuxLength</vt:lpstr>
      <vt:lpstr>PriLength</vt:lpstr>
      <vt:lpstr>PriNumWireCh</vt:lpstr>
      <vt:lpstr>PriWindFitAWG</vt:lpstr>
      <vt:lpstr>PRSACF</vt:lpstr>
      <vt:lpstr>PRsWorst</vt:lpstr>
      <vt:lpstr>PSecCond</vt:lpstr>
      <vt:lpstr>PSInt</vt:lpstr>
      <vt:lpstr>PtransDCAC</vt:lpstr>
      <vt:lpstr>PtransSec</vt:lpstr>
      <vt:lpstr>PtransTot</vt:lpstr>
      <vt:lpstr>PXFMRCond</vt:lpstr>
      <vt:lpstr>QGHS</vt:lpstr>
      <vt:lpstr>QGLS</vt:lpstr>
      <vt:lpstr>Qgtot</vt:lpstr>
      <vt:lpstr>Qlevelshift</vt:lpstr>
      <vt:lpstr>QtotBootCap</vt:lpstr>
      <vt:lpstr>RATHVinminVoutmax</vt:lpstr>
      <vt:lpstr>RATHVinminVoutmin</vt:lpstr>
      <vt:lpstr>RBCh</vt:lpstr>
      <vt:lpstr>Rburden</vt:lpstr>
      <vt:lpstr>RburdenSuggest</vt:lpstr>
      <vt:lpstr>RClampESR</vt:lpstr>
      <vt:lpstr>RclampPri</vt:lpstr>
      <vt:lpstr>RCST</vt:lpstr>
      <vt:lpstr>RDSOnHS</vt:lpstr>
      <vt:lpstr>RDSOnLS</vt:lpstr>
      <vt:lpstr>RDSOnSec</vt:lpstr>
      <vt:lpstr>RDTH1Ch</vt:lpstr>
      <vt:lpstr>RDTH1Rec</vt:lpstr>
      <vt:lpstr>RDTH2Ch</vt:lpstr>
      <vt:lpstr>RDTH2Rec</vt:lpstr>
      <vt:lpstr>RegDrop</vt:lpstr>
      <vt:lpstr>RiseMax</vt:lpstr>
      <vt:lpstr>RiseTimeVinminVoutmaxIoutVoutMax</vt:lpstr>
      <vt:lpstr>RisetimeVinminVoutmaxItranACF</vt:lpstr>
      <vt:lpstr>RiseTimeVinminVoutminIoutMax</vt:lpstr>
      <vt:lpstr>RisetimeVinminVoutminItranACF</vt:lpstr>
      <vt:lpstr>RLEDCh</vt:lpstr>
      <vt:lpstr>RLEDRec</vt:lpstr>
      <vt:lpstr>RlineandVoOPP</vt:lpstr>
      <vt:lpstr>RMSTot</vt:lpstr>
      <vt:lpstr>RNoZ1Ch</vt:lpstr>
      <vt:lpstr>RNoZ1Rec</vt:lpstr>
      <vt:lpstr>RNoZ2Ch</vt:lpstr>
      <vt:lpstr>RNoZ2Rec</vt:lpstr>
      <vt:lpstr>RoppCh</vt:lpstr>
      <vt:lpstr>RoppRec</vt:lpstr>
      <vt:lpstr>RperD1</vt:lpstr>
      <vt:lpstr>Rpulldown_Primary</vt:lpstr>
      <vt:lpstr>Rpullup_Primary</vt:lpstr>
      <vt:lpstr>RresetCh</vt:lpstr>
      <vt:lpstr>RSCh</vt:lpstr>
      <vt:lpstr>RSRec</vt:lpstr>
      <vt:lpstr>RtCh</vt:lpstr>
      <vt:lpstr>RthJCBridge</vt:lpstr>
      <vt:lpstr>Rtot2</vt:lpstr>
      <vt:lpstr>Rtot3</vt:lpstr>
      <vt:lpstr>RtotPA1</vt:lpstr>
      <vt:lpstr>RtotS122</vt:lpstr>
      <vt:lpstr>RtRec</vt:lpstr>
      <vt:lpstr>RtRecPostCalc</vt:lpstr>
      <vt:lpstr>RZ1Ch</vt:lpstr>
      <vt:lpstr>RZ1DTH</vt:lpstr>
      <vt:lpstr>RZ1Rec</vt:lpstr>
      <vt:lpstr>RZ2Ch</vt:lpstr>
      <vt:lpstr>RZ2Rec</vt:lpstr>
      <vt:lpstr>salocation</vt:lpstr>
      <vt:lpstr>SecLength</vt:lpstr>
      <vt:lpstr>SecNumWireCh</vt:lpstr>
      <vt:lpstr>SecWindFitAWG</vt:lpstr>
      <vt:lpstr>SkinDepthVinminVoutmaxIoutMVout</vt:lpstr>
      <vt:lpstr>SkiptimeVoutminIbootish</vt:lpstr>
      <vt:lpstr>SpikePri</vt:lpstr>
      <vt:lpstr>SpikeSec</vt:lpstr>
      <vt:lpstr>SwDerate</vt:lpstr>
      <vt:lpstr>TACFVinminVoutmaxItranACF</vt:lpstr>
      <vt:lpstr>TACFVinminVoutminItranACF</vt:lpstr>
      <vt:lpstr>talocation</vt:lpstr>
      <vt:lpstr>Tape</vt:lpstr>
      <vt:lpstr>Tbridge</vt:lpstr>
      <vt:lpstr>Tconduct</vt:lpstr>
      <vt:lpstr>TDCM</vt:lpstr>
      <vt:lpstr>TevalVinminVoutmaxIoutMVout</vt:lpstr>
      <vt:lpstr>ToffDCMVinmaxVoutminIoutmax</vt:lpstr>
      <vt:lpstr>TonACFVinminVoutmaxIoutMVout</vt:lpstr>
      <vt:lpstr>TonDCMVinmaxVoutminIoutmax</vt:lpstr>
      <vt:lpstr>TonDCMVinminVoutmaxItran</vt:lpstr>
      <vt:lpstr>TonDCMVinminVoutminItran</vt:lpstr>
      <vt:lpstr>totalnumber12</vt:lpstr>
      <vt:lpstr>TotalNumberofWiresAWG</vt:lpstr>
      <vt:lpstr>TotAlocation</vt:lpstr>
      <vt:lpstr>Tsoftstart</vt:lpstr>
      <vt:lpstr>TswDCMMax</vt:lpstr>
      <vt:lpstr>TurnsperLayer1</vt:lpstr>
      <vt:lpstr>TurnsperLayer2</vt:lpstr>
      <vt:lpstr>Tzvs</vt:lpstr>
      <vt:lpstr>VbiasVCC</vt:lpstr>
      <vt:lpstr>Vbootoff</vt:lpstr>
      <vt:lpstr>VBridgeRate</vt:lpstr>
      <vt:lpstr>VCC</vt:lpstr>
      <vt:lpstr>Vccoff</vt:lpstr>
      <vt:lpstr>Vccon</vt:lpstr>
      <vt:lpstr>VcompRoppVinminVoutmax</vt:lpstr>
      <vt:lpstr>VcompRoppVinminVoutmin</vt:lpstr>
      <vt:lpstr>VcrIni</vt:lpstr>
      <vt:lpstr>VCvcc</vt:lpstr>
      <vt:lpstr>VdivHigh</vt:lpstr>
      <vt:lpstr>VdivLow</vt:lpstr>
      <vt:lpstr>Vdrv</vt:lpstr>
      <vt:lpstr>Ve</vt:lpstr>
      <vt:lpstr>VFBACFVinminVoutmaxItranACF</vt:lpstr>
      <vt:lpstr>VFBACFVinminVoutminItranACF</vt:lpstr>
      <vt:lpstr>VfBridge</vt:lpstr>
      <vt:lpstr>VFBVinminVoutmaxItran</vt:lpstr>
      <vt:lpstr>VFBVinminVoutminItran</vt:lpstr>
      <vt:lpstr>Vforward</vt:lpstr>
      <vt:lpstr>VinMax</vt:lpstr>
      <vt:lpstr>VinMaxAC</vt:lpstr>
      <vt:lpstr>VinMin</vt:lpstr>
      <vt:lpstr>VinMinAC</vt:lpstr>
      <vt:lpstr>VinNom</vt:lpstr>
      <vt:lpstr>VinNomAC</vt:lpstr>
      <vt:lpstr>VinRip</vt:lpstr>
      <vt:lpstr>VLimVinminVoutmaxIoutMVout</vt:lpstr>
      <vt:lpstr>Vmargin</vt:lpstr>
      <vt:lpstr>VoutMax</vt:lpstr>
      <vt:lpstr>VoutmaxTol</vt:lpstr>
      <vt:lpstr>VoutMin</vt:lpstr>
      <vt:lpstr>VoutminTol</vt:lpstr>
      <vt:lpstr>VoutRip</vt:lpstr>
      <vt:lpstr>VoutTol</vt:lpstr>
      <vt:lpstr>VoutTrad</vt:lpstr>
      <vt:lpstr>VpkFrz</vt:lpstr>
      <vt:lpstr>VrateCboot</vt:lpstr>
      <vt:lpstr>VrateCbulk</vt:lpstr>
      <vt:lpstr>VRateHV</vt:lpstr>
      <vt:lpstr>VratePri</vt:lpstr>
      <vt:lpstr>VrateSec</vt:lpstr>
      <vt:lpstr>Vref431</vt:lpstr>
      <vt:lpstr>VREFRangeVoutmax</vt:lpstr>
      <vt:lpstr>VREFRangeVoutmin</vt:lpstr>
      <vt:lpstr>VRoppEXTVinminVoutmax</vt:lpstr>
      <vt:lpstr>VRoppEXTVinminVoutmin</vt:lpstr>
      <vt:lpstr>Vz</vt:lpstr>
      <vt:lpstr>Wclamp</vt:lpstr>
      <vt:lpstr>wireR12</vt:lpstr>
      <vt:lpstr>wireR123</vt:lpstr>
      <vt:lpstr>wireR2</vt:lpstr>
      <vt:lpstr>xx</vt:lpstr>
      <vt:lpstr>Zclamp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Nasir</dc:creator>
  <cp:lastModifiedBy>Anthony Nasir</cp:lastModifiedBy>
  <cp:lastPrinted>2020-11-16T22:31:16Z</cp:lastPrinted>
  <dcterms:created xsi:type="dcterms:W3CDTF">2020-06-11T16:34:31Z</dcterms:created>
  <dcterms:modified xsi:type="dcterms:W3CDTF">2021-02-09T21:06:15Z</dcterms:modified>
</cp:coreProperties>
</file>